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PW31D0ADL/FOsZ6/Voe3asrLbLYwz6YmGv2lcVcccvkikkFWdJ+TAeBMLpPJNQnknp6BAbuu8kKt7FpglWIduA==" workbookSaltValue="3Kxi+vE2mvj1RXOUO3cNV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E10" i="6" s="1"/>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BF17" i="8"/>
  <c r="B13" i="7"/>
  <c r="E18" i="12"/>
  <c r="ER19" i="8"/>
  <c r="AE13" i="21"/>
  <c r="EL19" i="8"/>
  <c r="BE12" i="21"/>
  <c r="EQ19" i="8"/>
  <c r="EN19" i="8"/>
  <c r="E15" i="3"/>
  <c r="BA13" i="16"/>
  <c r="E17" i="3"/>
  <c r="F16" i="10"/>
  <c r="ES19" i="8"/>
  <c r="G18" i="12"/>
  <c r="C18" i="7"/>
  <c r="W19" i="8"/>
  <c r="EP19" i="8"/>
  <c r="EP19" i="19"/>
  <c r="S13" i="16"/>
  <c r="P13" i="16"/>
  <c r="W13" i="20"/>
  <c r="AO12" i="11"/>
  <c r="B12" i="6"/>
  <c r="H13" i="12"/>
  <c r="F13" i="7"/>
  <c r="AJ19" i="8"/>
  <c r="T13" i="16"/>
  <c r="BG15" i="8"/>
  <c r="BD9" i="8"/>
  <c r="BE9" i="8"/>
  <c r="AP13" i="16"/>
  <c r="T18" i="17"/>
  <c r="BF15" i="13"/>
  <c r="BE16" i="13"/>
  <c r="BF16" i="13"/>
  <c r="Z20" i="20"/>
  <c r="H20" i="20"/>
  <c r="G18" i="14"/>
  <c r="AK20" i="20"/>
  <c r="T20" i="20"/>
  <c r="O16" i="11"/>
  <c r="AG19" i="8" l="1"/>
  <c r="BM18" i="16"/>
  <c r="I19" i="8"/>
  <c r="BD12" i="8"/>
  <c r="BE12" i="8"/>
  <c r="I12" i="7" s="1"/>
  <c r="AY13" i="8"/>
  <c r="X12" i="21"/>
  <c r="BH15" i="16"/>
  <c r="BV17" i="16"/>
  <c r="BV11" i="16"/>
  <c r="U10" i="17"/>
  <c r="S11" i="14"/>
  <c r="V11" i="14" s="1"/>
  <c r="S15" i="16"/>
  <c r="BF12" i="11"/>
  <c r="BL10" i="11"/>
  <c r="Q15" i="17"/>
  <c r="BM17" i="11"/>
  <c r="BF15" i="11"/>
  <c r="BM9" i="11"/>
  <c r="BK10" i="11"/>
  <c r="U9" i="17"/>
  <c r="U19" i="17" s="1"/>
  <c r="BJ17" i="11"/>
  <c r="BL17" i="11"/>
  <c r="AZ17" i="11"/>
  <c r="BI15" i="11"/>
  <c r="BJ12" i="11"/>
  <c r="BG15" i="11"/>
  <c r="BK17" i="11"/>
  <c r="AP17" i="20"/>
  <c r="BU11" i="17"/>
  <c r="BU10" i="17"/>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0" i="2"/>
  <c r="S15" i="17"/>
  <c r="X15" i="16"/>
  <c r="X18" i="16" s="1"/>
  <c r="V10" i="16"/>
  <c r="BH9" i="16"/>
  <c r="BF10" i="11"/>
  <c r="BK15" i="11"/>
  <c r="Q10" i="21"/>
  <c r="BJ15" i="11"/>
  <c r="AP15" i="20"/>
  <c r="R17" i="20"/>
  <c r="R18" i="20" s="1"/>
  <c r="AZ9" i="11"/>
  <c r="AZ19" i="11" s="1"/>
  <c r="AZ15" i="11"/>
  <c r="AZ18" i="11" s="1"/>
  <c r="BV12" i="16"/>
  <c r="BW12" i="20"/>
  <c r="BW11" i="20"/>
  <c r="BW10" i="20"/>
  <c r="V12" i="16"/>
  <c r="BU12" i="17"/>
  <c r="AA16" i="16"/>
  <c r="AZ16" i="11"/>
  <c r="AZ11" i="11"/>
  <c r="X17" i="17"/>
  <c r="P15" i="17"/>
  <c r="BL15" i="11"/>
  <c r="BH10" i="16"/>
  <c r="S17" i="17"/>
  <c r="BH12" i="16"/>
  <c r="L12" i="2"/>
  <c r="BE15" i="13"/>
  <c r="BV16" i="16"/>
  <c r="BW17" i="20"/>
  <c r="BW9" i="20"/>
  <c r="BU15" i="17"/>
  <c r="T15" i="16"/>
  <c r="T17" i="16"/>
  <c r="BM15" i="11"/>
  <c r="BH17" i="11"/>
  <c r="BL11" i="11"/>
  <c r="BG9" i="11"/>
  <c r="BI17" i="11"/>
  <c r="R10" i="21"/>
  <c r="R13" i="21" s="1"/>
  <c r="BJ11" i="11"/>
  <c r="V9" i="11"/>
  <c r="BI10" i="11"/>
  <c r="X9" i="17"/>
  <c r="X11" i="17"/>
  <c r="BK9" i="11"/>
  <c r="BK12" i="11"/>
  <c r="Q17" i="20"/>
  <c r="Q18" i="20" s="1"/>
  <c r="BH15" i="11"/>
  <c r="V15" i="11"/>
  <c r="AP16" i="20"/>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2" i="12" l="1"/>
  <c r="AB21"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H20" i="17"/>
  <c r="O17" i="11"/>
  <c r="AO20" i="20"/>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A20" i="16"/>
  <c r="AC20" i="16"/>
  <c r="K20" i="11"/>
  <c r="AR20" i="20"/>
  <c r="AL20" i="11"/>
  <c r="F20" i="12"/>
  <c r="F20" i="11"/>
  <c r="O20" i="21"/>
  <c r="O20" i="11"/>
  <c r="AH20" i="16"/>
  <c r="BJ20" i="16"/>
  <c r="AJ20" i="11"/>
  <c r="AM20" i="16"/>
  <c r="AK20" i="16"/>
  <c r="O20" i="16"/>
  <c r="W20" i="16"/>
  <c r="E20" i="12"/>
  <c r="AX20" i="16"/>
  <c r="N20" i="17"/>
  <c r="E20" i="17"/>
  <c r="AD20" i="17"/>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U20" i="20"/>
  <c r="AI20" i="21"/>
  <c r="I20" i="11"/>
  <c r="I20" i="16"/>
  <c r="BF20" i="16"/>
  <c r="Y20" i="21"/>
  <c r="AN20" i="21"/>
  <c r="AB20" i="17"/>
  <c r="S20" i="11"/>
  <c r="AM20" i="17"/>
  <c r="AT20" i="17"/>
  <c r="AI20" i="16"/>
  <c r="N20" i="11"/>
  <c r="U20" i="16"/>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<sst xmlns="http://schemas.openxmlformats.org/spreadsheetml/2006/main" count="2094" uniqueCount="914">
  <si>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</si>
  <si>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</si>
  <si>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</si>
  <si>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</si>
  <si>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</si>
  <si>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</si>
  <si>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</si>
  <si>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</si>
  <si>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</si>
  <si>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</si>
  <si>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</si>
  <si>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</si>
  <si>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</si>
  <si>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</si>
  <si>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</si>
  <si>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</si>
  <si>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</si>
  <si>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</si>
  <si>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</si>
  <si>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</si>
  <si>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</si>
  <si>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</si>
  <si>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</si>
  <si>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</si>
  <si>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</si>
  <si>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</si>
  <si>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</si>
  <si>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</si>
  <si>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</si>
  <si>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</si>
  <si>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</si>
  <si>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</si>
  <si>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</si>
  <si>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</si>
  <si>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</si>
  <si>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</si>
  <si>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</si>
  <si>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</si>
  <si>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</si>
  <si>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</si>
  <si>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</si>
  <si>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</si>
  <si>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</si>
  <si>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</si>
  <si>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</si>
  <si>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</si>
  <si>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</si>
  <si>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</si>
  <si>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</si>
  <si>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</si>
  <si>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</si>
  <si>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</si>
  <si>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</si>
  <si>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</si>
  <si>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</si>
  <si>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</si>
  <si>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</si>
  <si>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</si>
  <si>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</si>
  <si>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</si>
  <si>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</si>
  <si>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</si>
  <si>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</si>
  <si>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</si>
  <si>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</si>
  <si>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</si>
  <si>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</si>
  <si>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</si>
  <si>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</si>
  <si>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</si>
  <si>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</si>
  <si>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</si>
  <si>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</si>
  <si>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</si>
  <si>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</si>
  <si>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</si>
  <si>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</si>
  <si>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</si>
  <si>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</si>
  <si>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</si>
  <si>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</si>
  <si>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</si>
  <si>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</si>
  <si>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</si>
  <si>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</si>
  <si>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</si>
  <si>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</si>
  <si>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</si>
  <si>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</si>
  <si>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</si>
  <si>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</si>
  <si>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</si>
  <si>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</si>
  <si>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</si>
  <si>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</si>
  <si>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</si>
  <si>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</si>
  <si>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</si>
  <si>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</si>
  <si>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</si>
  <si>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</si>
  <si>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</si>
  <si>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</si>
  <si>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</si>
  <si>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</si>
  <si>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</si>
  <si>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</si>
  <si>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</si>
  <si>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</si>
  <si>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</si>
  <si>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</si>
  <si>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</si>
  <si>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</si>
  <si>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</si>
  <si>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</si>
  <si>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</si>
  <si>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</si>
  <si>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</si>
  <si>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</si>
  <si>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</si>
  <si>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</si>
  <si>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</si>
  <si>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</si>
  <si>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</si>
  <si>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</si>
  <si>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</si>
  <si>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</si>
  <si>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</si>
  <si>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</si>
  <si>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</si>
  <si>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</si>
  <si>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</si>
  <si>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</si>
  <si>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</si>
  <si>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</si>
  <si>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</si>
  <si>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</si>
  <si>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</si>
  <si>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</si>
  <si>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</si>
  <si>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</si>
  <si>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</si>
  <si>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</si>
  <si>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</si>
  <si>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</si>
  <si>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</si>
  <si>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</si>
  <si>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</si>
  <si>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</si>
  <si>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</si>
  <si>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</si>
  <si>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</si>
  <si>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</si>
  <si>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</si>
  <si>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</si>
  <si>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</si>
  <si>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</si>
  <si>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</si>
  <si>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</si>
  <si>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</si>
  <si>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</si>
  <si>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</si>
  <si>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</si>
  <si>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</si>
  <si>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</si>
  <si>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</si>
  <si>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</si>
  <si>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</si>
  <si>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</si>
  <si>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</si>
  <si>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</si>
  <si>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</si>
  <si>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</si>
  <si>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</si>
  <si>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</si>
  <si>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</si>
  <si>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</si>
  <si>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</si>
  <si>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</si>
  <si>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</si>
  <si>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</si>
  <si>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</si>
  <si>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</si>
  <si>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</si>
  <si>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</si>
  <si>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</si>
  <si>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</si>
  <si>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</si>
  <si>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</si>
  <si>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</si>
  <si>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</si>
  <si>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</si>
  <si>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</si>
  <si>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</si>
  <si>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</si>
  <si>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</si>
  <si>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</si>
  <si>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</si>
  <si>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</si>
  <si>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</si>
  <si>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</si>
  <si>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</si>
  <si>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</si>
  <si>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</si>
  <si>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</si>
  <si>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</si>
  <si>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</si>
  <si>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</si>
  <si>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</si>
  <si>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</si>
  <si>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</si>
  <si>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</si>
  <si>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</si>
  <si>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</si>
  <si>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</si>
  <si>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</si>
  <si>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</si>
  <si>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</si>
  <si>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</si>
  <si>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</si>
  <si>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</si>
  <si>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</si>
  <si>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</si>
  <si>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</si>
  <si>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</si>
  <si>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</si>
  <si>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</si>
  <si>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</si>
  <si>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</si>
  <si>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</si>
  <si>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</si>
  <si>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</si>
  <si>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</si>
  <si>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</si>
  <si>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</si>
  <si>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</si>
  <si>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</si>
  <si>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</si>
  <si>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</si>
  <si>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</si>
  <si>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</si>
  <si>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</si>
  <si>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</si>
  <si>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</si>
  <si>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</si>
  <si>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</si>
  <si>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</si>
  <si>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</si>
  <si>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</si>
  <si>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</si>
  <si>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</si>
  <si>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</si>
  <si>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</si>
  <si>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</si>
  <si>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</si>
  <si>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</si>
  <si>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</si>
  <si>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</si>
  <si>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</si>
  <si>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</si>
  <si>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</si>
  <si>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</si>
  <si>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</si>
  <si>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</si>
  <si>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</si>
  <si>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</si>
  <si>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</si>
  <si>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</si>
  <si>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</si>
  <si>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</si>
  <si>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</si>
  <si>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</si>
  <si>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</si>
  <si>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</si>
  <si>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</si>
  <si>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</si>
  <si>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</si>
  <si>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</si>
  <si>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</si>
  <si>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</si>
  <si>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</si>
  <si>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</si>
  <si>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</si>
  <si>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</si>
  <si>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</si>
  <si>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</si>
  <si>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</si>
  <si>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</si>
  <si>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</si>
  <si>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</si>
  <si>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</si>
  <si>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</si>
  <si>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</si>
  <si>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</si>
  <si>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</si>
  <si>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</si>
  <si>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</si>
  <si>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</si>
  <si>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</si>
  <si>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</si>
  <si>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</si>
  <si>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</si>
  <si>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</si>
  <si>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</si>
  <si>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</si>
  <si>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</si>
  <si>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</si>
  <si>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</si>
  <si>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</si>
  <si>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</si>
  <si>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</si>
  <si>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</si>
  <si>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</si>
  <si>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</si>
  <si>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</si>
  <si>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</si>
  <si>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</si>
  <si>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</si>
  <si>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</si>
  <si>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</si>
  <si>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</si>
  <si>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</si>
  <si>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</si>
  <si>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</si>
  <si>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</si>
  <si>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</si>
  <si>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</si>
  <si>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</si>
  <si>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</si>
  <si>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</si>
  <si>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</si>
  <si>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</si>
  <si>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</si>
  <si>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</si>
  <si>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</si>
  <si>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</si>
  <si>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</si>
  <si>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</si>
  <si>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</si>
  <si>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</si>
  <si>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</si>
  <si>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</si>
  <si>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</si>
  <si>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</si>
  <si>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</si>
  <si>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</si>
  <si>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</si>
  <si>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</si>
  <si>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</si>
  <si>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</si>
  <si>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</si>
  <si>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</si>
  <si>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</si>
  <si>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</si>
  <si>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</si>
  <si>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</si>
  <si>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</si>
  <si>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</si>
  <si>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</si>
  <si>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</si>
  <si>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</si>
  <si>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</si>
  <si>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</si>
  <si>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</si>
  <si>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</si>
  <si>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</si>
  <si>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</si>
  <si>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</si>
  <si>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</si>
  <si>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</si>
  <si>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</si>
  <si>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</si>
  <si>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</si>
  <si>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</si>
  <si>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</si>
  <si>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</si>
  <si>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</si>
  <si>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</si>
  <si>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</si>
  <si>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</si>
  <si>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</si>
  <si>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</si>
  <si>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</si>
  <si>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</si>
  <si>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</si>
  <si>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</si>
  <si>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</si>
  <si>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</si>
  <si>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</si>
  <si>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</si>
  <si>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</si>
  <si>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</si>
  <si>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</si>
  <si>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</si>
  <si>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</si>
  <si>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</si>
  <si>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</si>
  <si>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</si>
  <si>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</si>
  <si>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</si>
  <si>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</si>
  <si>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</si>
  <si>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</si>
  <si>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</si>
  <si>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</si>
  <si>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</si>
  <si>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</si>
  <si>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</si>
  <si>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</si>
  <si>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</si>
  <si>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</si>
  <si>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</si>
  <si>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</si>
  <si>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</si>
  <si>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</si>
  <si>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</si>
  <si>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</si>
  <si>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</si>
  <si>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</si>
  <si>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</si>
  <si>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</si>
  <si>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</si>
  <si>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</si>
  <si>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</si>
  <si>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</si>
  <si>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</si>
  <si>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</si>
  <si>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</si>
  <si>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</si>
  <si>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</si>
  <si>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</si>
  <si>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</si>
  <si>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</si>
  <si>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</si>
  <si>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</si>
  <si>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</si>
  <si>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</si>
  <si>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</si>
  <si>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</si>
  <si>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</si>
  <si>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</si>
  <si>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</si>
  <si>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</si>
  <si>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</si>
  <si>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</si>
  <si>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</si>
  <si>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</si>
  <si>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</si>
  <si>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</si>
  <si>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</si>
  <si>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</si>
  <si>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</si>
  <si>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</si>
  <si>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</si>
  <si>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</si>
  <si>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</si>
  <si>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</si>
  <si>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</si>
  <si>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</si>
  <si>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</si>
  <si>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</si>
  <si>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</si>
  <si>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</si>
  <si>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</si>
  <si>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</si>
  <si>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</si>
  <si>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</si>
  <si>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</si>
  <si>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</si>
  <si>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</si>
  <si>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</si>
  <si>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</si>
  <si>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</si>
  <si>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</si>
  <si>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</si>
  <si>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</si>
  <si>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</si>
  <si>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</si>
  <si>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</si>
  <si>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</si>
  <si>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</si>
  <si>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</si>
  <si>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</si>
  <si>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</si>
  <si>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</si>
  <si>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</si>
  <si>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</si>
  <si>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</si>
  <si>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</si>
  <si>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</si>
  <si>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</si>
  <si>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</si>
  <si>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</si>
  <si>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</si>
  <si>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</si>
  <si>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</si>
  <si>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</si>
  <si>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</si>
  <si>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</si>
  <si>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</si>
  <si>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</si>
  <si>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</si>
  <si>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</si>
  <si>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</si>
  <si>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</si>
  <si>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</si>
  <si>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</si>
  <si>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</si>
  <si>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</si>
  <si>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</si>
  <si>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</si>
  <si>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</si>
  <si>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</si>
  <si>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</si>
  <si>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</si>
  <si>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</si>
  <si>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</si>
  <si>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</si>
  <si>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</si>
  <si>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</si>
  <si>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</si>
  <si>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</si>
  <si>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</si>
  <si>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</si>
  <si>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</si>
  <si>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</si>
  <si>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</si>
  <si>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</si>
  <si>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</si>
  <si>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</si>
  <si>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</si>
  <si>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</si>
  <si>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</si>
  <si>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</si>
  <si>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</si>
  <si>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</si>
  <si>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</si>
  <si>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</si>
  <si>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</si>
  <si>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</si>
  <si>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</si>
  <si>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</si>
  <si>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</si>
  <si>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</si>
  <si>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</si>
  <si>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</si>
  <si>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</si>
  <si>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</si>
  <si>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</si>
  <si>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</si>
  <si>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</si>
  <si>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</si>
  <si>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</si>
  <si>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</si>
  <si>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</si>
  <si>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</si>
  <si>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</si>
  <si>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</si>
  <si>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</si>
  <si>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</si>
  <si>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</si>
  <si>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</si>
  <si>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</si>
  <si>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</si>
  <si>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</si>
  <si>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</si>
  <si>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</si>
  <si>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</si>
  <si>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</si>
  <si>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</si>
  <si>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</si>
  <si>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</si>
  <si>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</si>
  <si>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</si>
  <si>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</si>
  <si>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</si>
  <si>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</si>
  <si>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</si>
  <si>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</si>
  <si>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</si>
  <si>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</si>
  <si>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</si>
  <si>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</si>
  <si>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</si>
  <si>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</si>
  <si>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</si>
  <si>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</si>
  <si>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</si>
  <si>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</si>
  <si>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</si>
  <si>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</si>
  <si>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</si>
  <si>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</si>
  <si>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</si>
  <si>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</si>
  <si>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</si>
  <si>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</si>
  <si>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</si>
  <si>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</si>
  <si>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</si>
  <si>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</si>
  <si>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</si>
  <si>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</si>
  <si>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</si>
  <si>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</si>
  <si>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</si>
  <si>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</si>
  <si>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</si>
  <si>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</si>
  <si>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</si>
  <si>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</si>
  <si>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</si>
  <si>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</si>
  <si>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</si>
  <si>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</si>
  <si>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</si>
  <si>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</si>
  <si>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</si>
  <si>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</si>
  <si>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</si>
  <si>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</si>
  <si>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</si>
  <si>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</si>
  <si>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</si>
  <si>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</si>
  <si>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</si>
  <si>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</si>
  <si>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</si>
  <si>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</si>
  <si>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</si>
  <si>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</si>
  <si>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</si>
  <si>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</si>
  <si>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</si>
  <si>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</si>
  <si>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</si>
  <si>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</si>
  <si>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</si>
  <si>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</si>
  <si>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</si>
  <si>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</si>
  <si>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</si>
  <si>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</si>
  <si>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</si>
  <si>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</si>
  <si>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</si>
  <si>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</si>
  <si>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</si>
  <si>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</si>
  <si>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</si>
  <si>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</si>
  <si>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</si>
  <si>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</si>
  <si>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</si>
  <si>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</si>
  <si>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</si>
  <si>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</si>
  <si>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</si>
  <si>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</si>
  <si>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</si>
  <si>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</si>
  <si>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</si>
  <si>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</si>
  <si>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</si>
  <si>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</si>
  <si>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</si>
  <si>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</si>
  <si>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</si>
  <si>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</si>
  <si>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</si>
  <si>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</si>
  <si>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</si>
  <si>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</si>
  <si>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</si>
  <si>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</si>
  <si>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</si>
  <si>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</si>
  <si>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</si>
  <si>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</si>
  <si>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</si>
  <si>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</si>
  <si>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</si>
  <si>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</si>
  <si>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</si>
  <si>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</si>
  <si>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</si>
  <si>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</si>
  <si>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</si>
  <si>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</si>
  <si>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</si>
  <si>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</si>
  <si>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</si>
  <si>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</si>
  <si>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</si>
  <si>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</si>
  <si>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</si>
  <si>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</si>
  <si>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</si>
  <si>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</si>
  <si>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</si>
  <si>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</si>
  <si>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</si>
  <si>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</si>
  <si>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</si>
  <si>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</si>
  <si>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</si>
  <si>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</si>
  <si>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</si>
  <si>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</si>
  <si>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</si>
  <si>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</si>
  <si>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</si>
  <si>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</si>
  <si>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</si>
  <si>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</si>
  <si>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</si>
  <si>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</si>
  <si>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</si>
  <si>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</si>
  <si>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</si>
  <si>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</si>
  <si>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</si>
  <si>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</si>
  <si>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</si>
  <si>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</si>
  <si>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</si>
  <si>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</si>
  <si>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</si>
  <si>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</si>
  <si>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</si>
  <si>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</si>
  <si>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</si>
  <si>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</si>
  <si>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</si>
  <si>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</si>
  <si>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</si>
  <si>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</si>
  <si>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</si>
  <si>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</si>
  <si>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</si>
  <si>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</si>
  <si>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</si>
  <si>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</si>
  <si>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</si>
  <si>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</si>
  <si>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</si>
  <si>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</si>
  <si>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</si>
  <si>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</si>
  <si>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</si>
  <si>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</si>
  <si>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</si>
  <si>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</si>
  <si>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</si>
  <si>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</si>
  <si>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</si>
  <si>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</si>
  <si>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</si>
  <si>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</si>
  <si>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</si>
  <si>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</si>
  <si>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</si>
  <si>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</si>
  <si>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</si>
  <si>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</si>
  <si>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</si>
  <si>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</si>
  <si>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</si>
  <si>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</si>
  <si>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</si>
  <si>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</si>
  <si>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</si>
  <si>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</si>
  <si>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</si>
  <si>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</si>
  <si>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</si>
  <si>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</si>
  <si>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</si>
  <si>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</si>
  <si>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</si>
  <si>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</si>
  <si>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</si>
  <si>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</si>
  <si>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</si>
  <si>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</si>
  <si>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</si>
  <si>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</si>
  <si>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</si>
  <si>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</si>
  <si>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</si>
  <si>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</si>
  <si>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</si>
  <si>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</si>
  <si>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</si>
  <si>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</si>
  <si>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</si>
  <si>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</si>
  <si>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</si>
  <si>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</si>
  <si>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</si>
  <si>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</si>
  <si>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</si>
  <si>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</si>
  <si>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</si>
  <si>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</si>
  <si>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</si>
  <si>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</si>
  <si>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</si>
  <si>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</si>
  <si>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</si>
  <si>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</si>
  <si>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</si>
  <si>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</si>
  <si>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</si>
  <si>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</si>
  <si>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</si>
  <si>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</si>
  <si>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</si>
  <si>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</si>
  <si>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</si>
  <si>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</si>
  <si>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</si>
  <si>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</si>
  <si>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</si>
  <si>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</si>
  <si>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</si>
  <si>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</si>
  <si>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</si>
  <si>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</si>
  <si>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</si>
  <si>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</si>
  <si>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</si>
  <si>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</si>
  <si>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</si>
  <si>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</si>
  <si>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</si>
  <si>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</si>
  <si>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</si>
  <si>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</si>
  <si>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</si>
  <si>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</si>
  <si>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</si>
  <si>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</si>
  <si>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</si>
  <si>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</si>
  <si>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</si>
  <si>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</si>
  <si>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</si>
  <si>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</si>
  <si>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</si>
  <si>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</si>
  <si>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</si>
  <si>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</si>
  <si>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</si>
  <si>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</si>
  <si>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</si>
  <si>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</si>
  <si>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</si>
  <si>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</si>
  <si>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</si>
  <si>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</si>
  <si>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</si>
  <si>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</si>
  <si>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</si>
  <si>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</si>
  <si>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</si>
  <si>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</si>
  <si>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</si>
  <si>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</si>
  <si>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</si>
  <si>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</si>
  <si>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</si>
  <si>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</si>
  <si>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</si>
  <si>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</si>
  <si>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</si>
  <si>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</si>
  <si>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</si>
  <si>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</si>
  <si>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</si>
  <si>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</si>
  <si>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</si>
  <si>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</si>
  <si>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</si>
  <si>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</si>
  <si>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</si>
  <si>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</si>
  <si>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</si>
  <si>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</si>
  <si>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</si>
  <si>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</si>
  <si>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</si>
  <si>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</si>
  <si>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</si>
  <si>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</si>
  <si>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</si>
  <si>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</si>
  <si>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</si>
  <si>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</si>
  <si>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</si>
  <si>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</si>
  <si>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</si>
  <si>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</si>
  <si>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</si>
  <si>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</si>
  <si>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</si>
  <si>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</si>
  <si>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</si>
  <si>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</si>
  <si>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PAIS VASCO</t>
  </si>
  <si>
    <t>Provincias</t>
  </si>
  <si>
    <t>BIZKAIA</t>
  </si>
  <si>
    <t>Resumenes por Partidos Judiciales</t>
  </si>
  <si>
    <t>GERNIKA-LUMO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</si>
</sst>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21rSUU5I24sOSdv1wl7mEl3FMXRqMrDylYA8Me8C8hCLLTFEe5/Fk1Hpwpc8xA6i0T2YSk+eTjWO6ungrVW2Jg==" saltValue="eKRa0LLWXuxx/a/F+v3D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PAIS VASCO</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35</v>
      </c>
      <c r="D10" s="225">
        <f>IF(ISNUMBER(Datos!I10),Datos!I10," - ")</f>
        <v>35</v>
      </c>
      <c r="E10" s="226">
        <f>IF(ISNUMBER(Datos!J10),Datos!J10," - ")</f>
        <v>2</v>
      </c>
      <c r="F10" s="226">
        <f>IF(ISNUMBER(Datos!K10),Datos!K10," - ")</f>
        <v>3</v>
      </c>
      <c r="G10" s="1034" t="str">
        <f>IF(Datos!E10&lt;&gt;"",Datos!E10,Datos!D10)</f>
        <v>37</v>
      </c>
      <c r="H10" s="227">
        <f>IF(ISNUMBER(Datos!L10),Datos!L10," - ")</f>
        <v>34</v>
      </c>
      <c r="I10" s="1044" t="str">
        <f>IF(ISNUMBER(Datos!AS10/Datos!BM10),Datos!AS10/Datos!BM10," - ")</f>
        <v xml:space="preserve"> - </v>
      </c>
      <c r="J10" s="1045">
        <f>IF(ISNUMBER(Datos!BY10/Datos!CN10),Datos!BY10/Datos!CN10," - ")</f>
        <v>0</v>
      </c>
      <c r="K10" s="230">
        <f t="shared" ref="K10:K12" si="1">IF(ISNUMBER((E10-F10)/C10),(E10-F10)/C10," - ")</f>
        <v>-2.8571428571428571E-2</v>
      </c>
      <c r="L10" s="1025">
        <f>IF(ISNUMBER(NºAsuntos!I10/NºAsuntos!G10),(NºAsuntos!I10/NºAsuntos!G10)*11," - ")</f>
        <v>124.66666666666667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16.814077025232404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35</v>
      </c>
      <c r="D13" s="1049">
        <f>SUBTOTAL(9,D9:D12)</f>
        <v>35</v>
      </c>
      <c r="E13" s="1050">
        <f>SUBTOTAL(9,E9:E12)</f>
        <v>2</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1093</v>
      </c>
      <c r="D16" s="225">
        <f>IF(ISNUMBER(IF(D_I="SI",Datos!I16,Datos!I16+Datos!AC16)),IF(D_I="SI",Datos!I16,Datos!I16+Datos!AC16)," - ")</f>
        <v>1066</v>
      </c>
      <c r="E16" s="226">
        <f>IF(ISNUMBER(IF(D_I="SI",Datos!J16,Datos!J16+Datos!AD16)),IF(D_I="SI",Datos!J16,Datos!J16+Datos!AD16)," - ")</f>
        <v>570</v>
      </c>
      <c r="F16" s="226">
        <f>IF(ISNUMBER(IF(D_I="SI",Datos!K16,Datos!K16+Datos!AE16)),IF(D_I="SI",Datos!K16,Datos!K16+Datos!AE16)," - ")</f>
        <v>563</v>
      </c>
      <c r="G16" s="1034" t="str">
        <f>IF(Datos!E16&lt;&gt;"",Datos!E16,Datos!D16)</f>
        <v>04</v>
      </c>
      <c r="H16" s="227">
        <f>IF(ISNUMBER(IF(D_I="SI",Datos!L16,Datos!L16+Datos!AF16)),IF(D_I="SI",Datos!L16,Datos!L16+Datos!AF16)," - ")</f>
        <v>1100</v>
      </c>
      <c r="I16" s="1044" t="str">
        <f>IF(ISNUMBER(Datos!AS16/Datos!BM16),Datos!AS16/Datos!BM16," - ")</f>
        <v xml:space="preserve"> - </v>
      </c>
      <c r="J16" s="1045">
        <f>IF(ISNUMBER(Datos!BY16/Datos!CN16),Datos!BY16/Datos!CN16," - ")</f>
        <v>0</v>
      </c>
      <c r="K16" s="230">
        <f t="shared" si="3"/>
        <v>6.4043915827996338E-3</v>
      </c>
      <c r="L16" s="1025">
        <f>IF(ISNUMBER(NºAsuntos!I16/NºAsuntos!G16),(NºAsuntos!I16/NºAsuntos!G16)*11," - ")</f>
        <v>21.492007104795739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110</v>
      </c>
      <c r="D17" s="225">
        <f>IF(ISNUMBER(IF(D_I="SI",Datos!I17,Datos!I17+Datos!AC17)),IF(D_I="SI",Datos!I17,Datos!I17+Datos!AC17)," - ")</f>
        <v>110</v>
      </c>
      <c r="E17" s="226">
        <f>IF(ISNUMBER(IF(D_I="SI",Datos!J17,Datos!J17+Datos!AD17)),IF(D_I="SI",Datos!J17,Datos!J17+Datos!AD17)," - ")</f>
        <v>48</v>
      </c>
      <c r="F17" s="226">
        <f>IF(ISNUMBER(IF(D_I="SI",Datos!K17,Datos!K17+Datos!AE17)),IF(D_I="SI",Datos!K17,Datos!K17+Datos!AE17)," - ")</f>
        <v>50</v>
      </c>
      <c r="G17" s="1034" t="str">
        <f>IF(Datos!E17&lt;&gt;"",Datos!E17,Datos!D17)</f>
        <v>37</v>
      </c>
      <c r="H17" s="227">
        <f>IF(ISNUMBER(IF(D_I="SI",Datos!L17,Datos!L17+Datos!AF17)),IF(D_I="SI",Datos!L17,Datos!L17+Datos!AF17)," - ")</f>
        <v>108</v>
      </c>
      <c r="I17" s="1044" t="str">
        <f>IF(ISNUMBER(Datos!AS17/Datos!BM17),Datos!AS17/Datos!BM17," - ")</f>
        <v xml:space="preserve"> - </v>
      </c>
      <c r="J17" s="1045" t="str">
        <f>IF(ISNUMBER((Datos!BY17+Datos!BZ17)/Datos!CN17),(Datos!BY17+Datos!BZ17)/Datos!CN17," - ")</f>
        <v xml:space="preserve"> - </v>
      </c>
      <c r="K17" s="230">
        <f t="shared" si="3"/>
        <v>-1.8181818181818181E-2</v>
      </c>
      <c r="L17" s="1025">
        <f>IF(ISNUMBER(NºAsuntos!I17/NºAsuntos!G17),(NºAsuntos!I17/NºAsuntos!G17)*11," - ")</f>
        <v>23.76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1203</v>
      </c>
      <c r="D18" s="1049">
        <f>SUBTOTAL(9,D15:D17)</f>
        <v>1176</v>
      </c>
      <c r="E18" s="1050">
        <f>SUBTOTAL(9,E15:E17)</f>
        <v>618</v>
      </c>
      <c r="F18" s="1050">
        <f>SUBTOTAL(9,F15:F17)</f>
        <v>613</v>
      </c>
      <c r="G18" s="1052" t="str">
        <f ca="1">INDIRECT(CONCATENATE("G",ROW()-1))</f>
        <v>37</v>
      </c>
      <c r="H18" s="1053">
        <f ca="1">SUMIF(G$14:G17,G18,H$14:H17)</f>
        <v>108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1238</v>
      </c>
      <c r="D19" s="1071">
        <f>SUBTOTAL(9,D9:D18)</f>
        <v>1211</v>
      </c>
      <c r="E19" s="1072">
        <f>SUBTOTAL(9,E9:E18)</f>
        <v>620</v>
      </c>
      <c r="F19" s="1072">
        <f>SUBTOTAL(9,F9:F18)</f>
        <v>616</v>
      </c>
      <c r="G19" s="1073"/>
      <c r="H19" s="1074">
        <f ca="1">SUMIF(B9:B18,"TOTAL",H9:H18)</f>
        <v>108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Mlac+YW51VLMSZsFVf7CGPTK11O6CTYbSYxccXY6qxlRNWd96Nefc8+uER/tdPRTuiKx0bglDs9FgqqrgsFxrA==" saltValue="aLdGLkeRZElZGC/62+7TR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1CDAgxvguwQOPRXtxQvMDh1eWpPmu0KTKwoyCqi7hxP1/o68TtjkR+I5wa6Ka8APf6T2NZS3SKvblvz6kPNkHg==" saltValue="lYEMLJQvyts5hqnRvfSo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35</v>
      </c>
      <c r="J10" s="181">
        <v>2</v>
      </c>
      <c r="K10" s="181">
        <v>3</v>
      </c>
      <c r="L10" s="181">
        <v>34</v>
      </c>
      <c r="M10" s="181">
        <v>2</v>
      </c>
      <c r="N10" s="181">
        <v>0</v>
      </c>
      <c r="O10" s="181">
        <v>0</v>
      </c>
      <c r="P10" s="181">
        <v>1</v>
      </c>
      <c r="Q10" s="181">
        <v>2</v>
      </c>
      <c r="R10" s="181">
        <v>16</v>
      </c>
      <c r="S10" s="181">
        <v>24</v>
      </c>
      <c r="T10" s="181">
        <v>29</v>
      </c>
      <c r="U10" s="181">
        <v>24</v>
      </c>
      <c r="V10" s="181">
        <v>29</v>
      </c>
      <c r="W10" s="181">
        <v>8</v>
      </c>
      <c r="X10" s="188">
        <v>12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24</v>
      </c>
      <c r="AZ10" s="129">
        <f t="shared" si="0"/>
        <v>29</v>
      </c>
      <c r="BA10" s="129">
        <f t="shared" si="0"/>
        <v>24</v>
      </c>
      <c r="BB10" s="129">
        <f t="shared" si="0"/>
        <v>29</v>
      </c>
      <c r="BC10" s="125">
        <f t="shared" si="0"/>
        <v>8</v>
      </c>
      <c r="BD10" s="126">
        <f>IF(ISNUMBER(BA10/AZ10),BA10/AZ10," - ")</f>
        <v>0.82758620689655171</v>
      </c>
      <c r="BE10" s="127">
        <f>IF(ISNUMBER(BB10/BA10),BB10/BA10, " - ")</f>
        <v>1.2083333333333333</v>
      </c>
      <c r="BF10" s="127">
        <f>IF(ISNUMBER(BC10/BA10),BC10/BA10, " - ")</f>
        <v>0.33333333333333331</v>
      </c>
      <c r="BG10" s="196">
        <f>IF(ISNUMBER((AY10+AZ10)/BA10),(AY10+AZ10)/BA10," - ")</f>
        <v>2.2083333333333335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999</v>
      </c>
      <c r="J12" s="183">
        <v>634</v>
      </c>
      <c r="K12" s="183">
        <v>669</v>
      </c>
      <c r="L12" s="183">
        <v>964</v>
      </c>
      <c r="M12" s="183">
        <v>169</v>
      </c>
      <c r="N12" s="183">
        <v>276</v>
      </c>
      <c r="O12" s="181">
        <v>214</v>
      </c>
      <c r="P12" s="183">
        <v>133</v>
      </c>
      <c r="Q12" s="183">
        <v>38</v>
      </c>
      <c r="R12" s="183">
        <v>1590</v>
      </c>
      <c r="S12" s="183">
        <v>995</v>
      </c>
      <c r="T12" s="183">
        <v>481</v>
      </c>
      <c r="U12" s="183">
        <v>534</v>
      </c>
      <c r="V12" s="183">
        <v>942</v>
      </c>
      <c r="W12" s="183">
        <v>139</v>
      </c>
      <c r="X12" s="189">
        <v>245</v>
      </c>
      <c r="Y12" s="191">
        <v>200</v>
      </c>
      <c r="Z12" s="181">
        <v>71</v>
      </c>
      <c r="AA12" s="181">
        <v>84</v>
      </c>
      <c r="AB12" s="181">
        <v>187</v>
      </c>
      <c r="AC12" s="183">
        <v>0</v>
      </c>
      <c r="AD12" s="183">
        <v>0</v>
      </c>
      <c r="AE12" s="183">
        <v>0</v>
      </c>
      <c r="AF12" s="189">
        <v>0</v>
      </c>
      <c r="AG12" s="202">
        <v>220</v>
      </c>
      <c r="AH12" s="183">
        <v>110</v>
      </c>
      <c r="AI12" s="183">
        <v>103</v>
      </c>
      <c r="AJ12" s="203">
        <v>227</v>
      </c>
      <c r="AK12" s="182">
        <v>0</v>
      </c>
      <c r="AL12" s="183">
        <v>0</v>
      </c>
      <c r="AM12" s="183">
        <v>0</v>
      </c>
      <c r="AN12" s="189">
        <v>0</v>
      </c>
      <c r="AO12" s="259">
        <v>4</v>
      </c>
      <c r="AP12" s="155">
        <v>4</v>
      </c>
      <c r="AQ12" s="155">
        <v>4</v>
      </c>
      <c r="AR12" s="154">
        <v>4</v>
      </c>
      <c r="AS12" s="340" t="s">
        <v>802</v>
      </c>
      <c r="AT12" s="203"/>
      <c r="AU12" s="202"/>
      <c r="AV12" s="203"/>
      <c r="AW12" s="202"/>
      <c r="AX12" s="203"/>
      <c r="AY12" s="126">
        <f t="shared" si="1"/>
        <v>1215</v>
      </c>
      <c r="AZ12" s="127">
        <f t="shared" si="1"/>
        <v>591</v>
      </c>
      <c r="BA12" s="127">
        <f t="shared" si="1"/>
        <v>637</v>
      </c>
      <c r="BB12" s="127">
        <f t="shared" si="1"/>
        <v>1169</v>
      </c>
      <c r="BC12" s="125">
        <f>IF(ISNUMBER(X12),X12," - ")</f>
        <v>245</v>
      </c>
      <c r="BD12" s="126">
        <f t="shared" si="2"/>
        <v>1.0778341793570221</v>
      </c>
      <c r="BE12" s="127">
        <f t="shared" si="3"/>
        <v>1.8351648351648351</v>
      </c>
      <c r="BF12" s="127">
        <f t="shared" si="4"/>
        <v>0.38461538461538464</v>
      </c>
      <c r="BG12" s="196">
        <f t="shared" si="5"/>
        <v>2.8351648351648353</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1034</v>
      </c>
      <c r="J13" s="184">
        <f t="shared" si="6"/>
        <v>636</v>
      </c>
      <c r="K13" s="184">
        <f t="shared" si="6"/>
        <v>672</v>
      </c>
      <c r="L13" s="184">
        <f t="shared" si="6"/>
        <v>998</v>
      </c>
      <c r="M13" s="184">
        <f t="shared" si="6"/>
        <v>171</v>
      </c>
      <c r="N13" s="184">
        <f t="shared" si="6"/>
        <v>276</v>
      </c>
      <c r="O13" s="184">
        <f t="shared" si="6"/>
        <v>214</v>
      </c>
      <c r="P13" s="184">
        <f t="shared" si="6"/>
        <v>134</v>
      </c>
      <c r="Q13" s="184">
        <f t="shared" si="6"/>
        <v>40</v>
      </c>
      <c r="R13" s="184">
        <f t="shared" si="6"/>
        <v>1606</v>
      </c>
      <c r="S13" s="184">
        <f t="shared" si="6"/>
        <v>1019</v>
      </c>
      <c r="T13" s="184">
        <f t="shared" si="6"/>
        <v>510</v>
      </c>
      <c r="U13" s="184">
        <f t="shared" si="6"/>
        <v>558</v>
      </c>
      <c r="V13" s="184">
        <f t="shared" si="6"/>
        <v>971</v>
      </c>
      <c r="W13" s="184">
        <f t="shared" si="6"/>
        <v>147</v>
      </c>
      <c r="X13" s="184">
        <f t="shared" si="6"/>
        <v>257</v>
      </c>
      <c r="Y13" s="184">
        <f t="shared" si="6"/>
        <v>200</v>
      </c>
      <c r="Z13" s="184">
        <f t="shared" si="6"/>
        <v>71</v>
      </c>
      <c r="AA13" s="184">
        <f t="shared" si="6"/>
        <v>84</v>
      </c>
      <c r="AB13" s="184">
        <f t="shared" si="6"/>
        <v>187</v>
      </c>
      <c r="AC13" s="184">
        <f t="shared" si="6"/>
        <v>0</v>
      </c>
      <c r="AD13" s="184">
        <f t="shared" si="6"/>
        <v>0</v>
      </c>
      <c r="AE13" s="184">
        <f t="shared" si="6"/>
        <v>0</v>
      </c>
      <c r="AF13" s="184">
        <f>SUBTOTAL(9,AF9:AF12)</f>
        <v>0</v>
      </c>
      <c r="AG13" s="184">
        <f t="shared" ref="AG13:AT13" si="7">SUBTOTAL(9,AG8:AG12)</f>
        <v>220</v>
      </c>
      <c r="AH13" s="184">
        <f t="shared" si="7"/>
        <v>110</v>
      </c>
      <c r="AI13" s="184">
        <f t="shared" si="7"/>
        <v>103</v>
      </c>
      <c r="AJ13" s="184">
        <f t="shared" si="7"/>
        <v>227</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1239</v>
      </c>
      <c r="AZ13" s="184">
        <f>SUBTOTAL(9,AZ8:AZ12)</f>
        <v>620</v>
      </c>
      <c r="BA13" s="184">
        <f>SUBTOTAL(9,BA8:BA12)</f>
        <v>661</v>
      </c>
      <c r="BB13" s="184">
        <f>SUBTOTAL(9,BB8:BB12)</f>
        <v>1198</v>
      </c>
      <c r="BC13" s="184">
        <f>SUBTOTAL(9,BC8:BC12)</f>
        <v>253</v>
      </c>
      <c r="BD13" s="205">
        <f>IF(ISNUMBER(BA13/AZ13),BA13/AZ13," - ")</f>
        <v>1.0661290322580645</v>
      </c>
      <c r="BE13" s="206">
        <f>IF(ISNUMBER(BB13/BA13),BB13/BA13, " - ")</f>
        <v>1.8124054462934946</v>
      </c>
      <c r="BF13" s="206">
        <f>IF(ISNUMBER(BC13/BA13),BC13/BA13, " - ")</f>
        <v>0.38275340393343421</v>
      </c>
      <c r="BG13" s="207">
        <f>IF(ISNUMBER((AY13+AZ13)/BA13),(AY13+AZ13)/BA13," - ")</f>
        <v>2.8124054462934946</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1066</v>
      </c>
      <c r="J16" s="183">
        <v>570</v>
      </c>
      <c r="K16" s="183">
        <v>563</v>
      </c>
      <c r="L16" s="183">
        <v>1100</v>
      </c>
      <c r="M16" s="183">
        <v>126</v>
      </c>
      <c r="N16" s="183">
        <v>271</v>
      </c>
      <c r="O16" s="181">
        <v>0</v>
      </c>
      <c r="P16" s="183">
        <v>36</v>
      </c>
      <c r="Q16" s="183">
        <v>21</v>
      </c>
      <c r="R16" s="183">
        <v>239</v>
      </c>
      <c r="S16" s="183">
        <v>827</v>
      </c>
      <c r="T16" s="183">
        <v>488</v>
      </c>
      <c r="U16" s="183">
        <v>473</v>
      </c>
      <c r="V16" s="183">
        <v>843</v>
      </c>
      <c r="W16" s="183">
        <v>85</v>
      </c>
      <c r="X16" s="189">
        <v>226</v>
      </c>
      <c r="Y16" s="202">
        <v>0</v>
      </c>
      <c r="Z16" s="183">
        <v>0</v>
      </c>
      <c r="AA16" s="183">
        <v>0</v>
      </c>
      <c r="AB16" s="183">
        <v>0</v>
      </c>
      <c r="AC16" s="183">
        <v>0</v>
      </c>
      <c r="AD16" s="183">
        <v>0</v>
      </c>
      <c r="AE16" s="183">
        <v>0</v>
      </c>
      <c r="AF16" s="189">
        <v>0</v>
      </c>
      <c r="AG16" s="202">
        <v>0</v>
      </c>
      <c r="AH16" s="183">
        <v>0</v>
      </c>
      <c r="AI16" s="183">
        <v>0</v>
      </c>
      <c r="AJ16" s="203">
        <v>0</v>
      </c>
      <c r="AK16" s="182">
        <v>1</v>
      </c>
      <c r="AL16" s="183">
        <v>2</v>
      </c>
      <c r="AM16" s="183">
        <v>3</v>
      </c>
      <c r="AN16" s="189">
        <v>0</v>
      </c>
      <c r="AO16" s="259">
        <v>4</v>
      </c>
      <c r="AP16" s="155">
        <v>4</v>
      </c>
      <c r="AQ16" s="155">
        <v>4</v>
      </c>
      <c r="AR16" s="155">
        <v>4</v>
      </c>
      <c r="AS16" s="340" t="s">
        <v>487</v>
      </c>
      <c r="AT16" s="203"/>
      <c r="AU16" s="202"/>
      <c r="AV16" s="203"/>
      <c r="AW16" s="202"/>
      <c r="AX16" s="203"/>
      <c r="AY16" s="126">
        <f t="shared" si="9"/>
        <v>827</v>
      </c>
      <c r="AZ16" s="127">
        <f t="shared" si="9"/>
        <v>488</v>
      </c>
      <c r="BA16" s="127">
        <f t="shared" si="9"/>
        <v>473</v>
      </c>
      <c r="BB16" s="127">
        <f t="shared" si="9"/>
        <v>843</v>
      </c>
      <c r="BC16" s="125">
        <f>IF(ISNUMBER(W16),W16," - ")</f>
        <v>85</v>
      </c>
      <c r="BD16" s="126">
        <f t="shared" ref="BD16" si="11">IF(ISNUMBER(BA16/AZ16),BA16/AZ16," - ")</f>
        <v>0.96926229508196726</v>
      </c>
      <c r="BE16" s="127">
        <f t="shared" ref="BE16" si="12">IF(ISNUMBER(BB16/BA16),BB16/BA16, " - ")</f>
        <v>1.7822410147991543</v>
      </c>
      <c r="BF16" s="127">
        <f t="shared" ref="BF16" si="13">IF(ISNUMBER(BC16/BA16),BC16/BA16, " - ")</f>
        <v>0.17970401691331925</v>
      </c>
      <c r="BG16" s="196">
        <f t="shared" si="10"/>
        <v>2.7801268498942919</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110</v>
      </c>
      <c r="J17" s="183">
        <v>48</v>
      </c>
      <c r="K17" s="183">
        <v>50</v>
      </c>
      <c r="L17" s="183">
        <v>108</v>
      </c>
      <c r="M17" s="183">
        <v>7</v>
      </c>
      <c r="N17" s="183">
        <v>40</v>
      </c>
      <c r="O17" s="183">
        <v>0</v>
      </c>
      <c r="P17" s="183">
        <v>0</v>
      </c>
      <c r="Q17" s="183">
        <v>7</v>
      </c>
      <c r="R17" s="183">
        <v>18</v>
      </c>
      <c r="S17" s="183">
        <v>88</v>
      </c>
      <c r="T17" s="183">
        <v>51</v>
      </c>
      <c r="U17" s="183">
        <v>36</v>
      </c>
      <c r="V17" s="183">
        <v>103</v>
      </c>
      <c r="W17" s="183">
        <v>11</v>
      </c>
      <c r="X17" s="189">
        <v>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88</v>
      </c>
      <c r="AZ17" s="129">
        <f t="shared" si="14"/>
        <v>51</v>
      </c>
      <c r="BA17" s="129">
        <f t="shared" si="14"/>
        <v>36</v>
      </c>
      <c r="BB17" s="129">
        <f t="shared" si="14"/>
        <v>103</v>
      </c>
      <c r="BC17" s="125">
        <f>IF(ISNUMBER(W17),W17," - ")</f>
        <v>11</v>
      </c>
      <c r="BD17" s="126">
        <f>IF(ISNUMBER(BA17/AZ17),BA17/AZ17," - ")</f>
        <v>0.70588235294117652</v>
      </c>
      <c r="BE17" s="127">
        <f>IF(ISNUMBER(BB17/BA17),BB17/BA17, " - ")</f>
        <v>2.8611111111111112</v>
      </c>
      <c r="BF17" s="127">
        <f>IF(ISNUMBER(BC17/BA17),BC17/BA17, " - ")</f>
        <v>0.30555555555555558</v>
      </c>
      <c r="BG17" s="196">
        <f>IF(ISNUMBER((AY17+AZ17)/BA17),(AY17+AZ17)/BA17," - ")</f>
        <v>3.8611111111111112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1176</v>
      </c>
      <c r="J18" s="184">
        <f t="shared" si="15"/>
        <v>618</v>
      </c>
      <c r="K18" s="184">
        <f t="shared" si="15"/>
        <v>613</v>
      </c>
      <c r="L18" s="184">
        <f t="shared" si="15"/>
        <v>1208</v>
      </c>
      <c r="M18" s="184">
        <f t="shared" si="15"/>
        <v>133</v>
      </c>
      <c r="N18" s="184">
        <f t="shared" si="15"/>
        <v>311</v>
      </c>
      <c r="O18" s="184">
        <f t="shared" si="15"/>
        <v>0</v>
      </c>
      <c r="P18" s="184">
        <f t="shared" si="15"/>
        <v>36</v>
      </c>
      <c r="Q18" s="184">
        <f t="shared" si="15"/>
        <v>28</v>
      </c>
      <c r="R18" s="184">
        <f t="shared" si="15"/>
        <v>257</v>
      </c>
      <c r="S18" s="184">
        <f t="shared" si="15"/>
        <v>915</v>
      </c>
      <c r="T18" s="184">
        <f t="shared" si="15"/>
        <v>539</v>
      </c>
      <c r="U18" s="184">
        <f t="shared" si="15"/>
        <v>509</v>
      </c>
      <c r="V18" s="184">
        <f t="shared" si="15"/>
        <v>946</v>
      </c>
      <c r="W18" s="184">
        <f t="shared" si="15"/>
        <v>96</v>
      </c>
      <c r="X18" s="184">
        <f t="shared" si="15"/>
        <v>241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2</v>
      </c>
      <c r="AM18" s="184">
        <f t="shared" si="15"/>
        <v>3</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915</v>
      </c>
      <c r="AZ18" s="184">
        <f>SUBTOTAL(9,AZ14:AZ17)</f>
        <v>539</v>
      </c>
      <c r="BA18" s="184">
        <f>SUBTOTAL(9,BA14:BA17)</f>
        <v>509</v>
      </c>
      <c r="BB18" s="184">
        <f>SUBTOTAL(9,BB14:BB17)</f>
        <v>946</v>
      </c>
      <c r="BC18" s="184">
        <f>SUBTOTAL(9,BC14:BC17)</f>
        <v>96</v>
      </c>
      <c r="BD18" s="205">
        <f>IF(ISNUMBER(BA18/AZ18),BA18/AZ18," - ")</f>
        <v>0.94434137291280151</v>
      </c>
      <c r="BE18" s="206">
        <f>IF(ISNUMBER(BB18/BA18),BB18/BA18, " - ")</f>
        <v>1.8585461689587426</v>
      </c>
      <c r="BF18" s="206">
        <f>IF(ISNUMBER(BC18/BA18),BC18/BA18, " - ")</f>
        <v>0.18860510805500982</v>
      </c>
      <c r="BG18" s="207">
        <f>IF(ISNUMBER((AY18+AZ18)/BA18),(AY18+AZ18)/BA18," - ")</f>
        <v>2.8565815324165031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2210</v>
      </c>
      <c r="J19" s="134">
        <f t="shared" si="18"/>
        <v>1254</v>
      </c>
      <c r="K19" s="134">
        <f t="shared" si="18"/>
        <v>1285</v>
      </c>
      <c r="L19" s="134">
        <f t="shared" si="18"/>
        <v>2206</v>
      </c>
      <c r="M19" s="134">
        <f t="shared" si="18"/>
        <v>304</v>
      </c>
      <c r="N19" s="134">
        <f t="shared" si="18"/>
        <v>587</v>
      </c>
      <c r="O19" s="134">
        <f t="shared" si="18"/>
        <v>214</v>
      </c>
      <c r="P19" s="134">
        <f t="shared" si="18"/>
        <v>170</v>
      </c>
      <c r="Q19" s="134">
        <f t="shared" si="18"/>
        <v>68</v>
      </c>
      <c r="R19" s="134">
        <f t="shared" si="18"/>
        <v>1863</v>
      </c>
      <c r="S19" s="134">
        <f t="shared" si="18"/>
        <v>1934</v>
      </c>
      <c r="T19" s="134">
        <f t="shared" si="18"/>
        <v>1049</v>
      </c>
      <c r="U19" s="134">
        <f t="shared" si="18"/>
        <v>1067</v>
      </c>
      <c r="V19" s="134">
        <f t="shared" si="18"/>
        <v>1917</v>
      </c>
      <c r="W19" s="134">
        <f t="shared" si="18"/>
        <v>243</v>
      </c>
      <c r="X19" s="134">
        <f t="shared" si="18"/>
        <v>498</v>
      </c>
      <c r="Y19" s="134">
        <f t="shared" si="18"/>
        <v>200</v>
      </c>
      <c r="Z19" s="134">
        <f t="shared" si="18"/>
        <v>71</v>
      </c>
      <c r="AA19" s="134">
        <f t="shared" si="18"/>
        <v>84</v>
      </c>
      <c r="AB19" s="134">
        <f t="shared" si="18"/>
        <v>187</v>
      </c>
      <c r="AC19" s="134">
        <f t="shared" si="18"/>
        <v>0</v>
      </c>
      <c r="AD19" s="134">
        <f t="shared" si="18"/>
        <v>0</v>
      </c>
      <c r="AE19" s="134">
        <f t="shared" si="18"/>
        <v>0</v>
      </c>
      <c r="AF19" s="134">
        <f t="shared" si="18"/>
        <v>0</v>
      </c>
      <c r="AG19" s="134">
        <f t="shared" si="18"/>
        <v>220</v>
      </c>
      <c r="AH19" s="134">
        <f t="shared" si="18"/>
        <v>110</v>
      </c>
      <c r="AI19" s="134">
        <f t="shared" si="18"/>
        <v>103</v>
      </c>
      <c r="AJ19" s="134">
        <f t="shared" si="18"/>
        <v>227</v>
      </c>
      <c r="AK19" s="134">
        <f t="shared" si="18"/>
        <v>1</v>
      </c>
      <c r="AL19" s="134">
        <f t="shared" si="18"/>
        <v>2</v>
      </c>
      <c r="AM19" s="134">
        <f t="shared" si="18"/>
        <v>3</v>
      </c>
      <c r="AN19" s="210">
        <f t="shared" si="18"/>
        <v>0</v>
      </c>
      <c r="AO19" s="211">
        <v>5</v>
      </c>
      <c r="AP19" s="211">
        <v>4</v>
      </c>
      <c r="AQ19" s="211">
        <v>4</v>
      </c>
      <c r="AR19" s="211">
        <v>4</v>
      </c>
      <c r="AS19" s="153">
        <f t="shared" si="18"/>
        <v>0</v>
      </c>
      <c r="AT19" s="153">
        <f t="shared" si="18"/>
        <v>0</v>
      </c>
      <c r="AU19" s="211"/>
      <c r="AV19" s="212"/>
      <c r="AW19" s="211"/>
      <c r="AX19" s="212"/>
      <c r="AY19" s="133">
        <f>SUBTOTAL(9,AY9:AY18)</f>
        <v>2154</v>
      </c>
      <c r="AZ19" s="134">
        <f>SUBTOTAL(9,AZ9:AZ18)</f>
        <v>1159</v>
      </c>
      <c r="BA19" s="134">
        <f>SUBTOTAL(9,BA9:BA18)</f>
        <v>1170</v>
      </c>
      <c r="BB19" s="134">
        <f>SUBTOTAL(9,BB9:BB18)</f>
        <v>2144</v>
      </c>
      <c r="BC19" s="135">
        <f>SUBTOTAL(9,BC9:BC18)</f>
        <v>349</v>
      </c>
      <c r="BD19" s="213">
        <f>IF(ISNUMBER(BA19/AZ19),BA19/AZ19," - ")</f>
        <v>1.0094909404659189</v>
      </c>
      <c r="BE19" s="210">
        <f>IF(ISNUMBER(BB19/BA19),BB19/BA19, " - ")</f>
        <v>1.8324786324786324</v>
      </c>
      <c r="BF19" s="210">
        <f>IF(ISNUMBER(BC19/BA19),BC19/BA19, " - ")</f>
        <v>0.29829059829059829</v>
      </c>
      <c r="BG19" s="135">
        <f>IF(ISNUMBER((AY19+AZ19)/BA19),(AY19+AZ19)/BA19," - ")</f>
        <v>2.8316239316239318</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QdKwFPqtF57Ut/1eQQ5HUowViDtln9wMM6BwG2fiShAef7wKKah30HWmQot3Enbb3iTUnpMeE1q3RYHD5pRuw==" saltValue="c9MAvc12P1yLyG3zz/mxL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KQvaW6V/OdOELmwr8Dc1ibae4i7N0c7NDKEtOAQR4YurR0NQP5+l2t2BuRE5DD/4Mzvob4bgHIYxN4hwEXa3w==" saltValue="mDiN9tlnF+/IyAv14cER5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PAIS VASCO</v>
      </c>
    </row>
    <row r="2" spans="1:74" ht="16.5" customHeight="1">
      <c r="C2" s="488" t="str">
        <f>Criterios!A10 &amp;"  "&amp;Criterios!B10 &amp; "  " &amp; IF(NOT(ISBLANK(Criterios!A11)),Criterios!A11 &amp;"  "&amp;Criterios!B11,"")</f>
        <v>Provincias  BIZKAIA  Resumenes por Partidos Judiciales  GERNIKA-LUMO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35</v>
      </c>
      <c r="G10" s="333">
        <f>IF(ISNUMBER(Datos!I10),Datos!I10," - ")</f>
        <v>35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2</v>
      </c>
      <c r="AD10" s="334"/>
      <c r="AE10" s="484"/>
      <c r="AF10" s="332">
        <f>IF(ISNUMBER(Datos!L10),Datos!L10,"-")</f>
        <v>34</v>
      </c>
      <c r="AG10" s="334"/>
      <c r="AH10" s="334"/>
      <c r="AI10" s="334"/>
      <c r="AJ10" s="334"/>
      <c r="AK10" s="334"/>
      <c r="AL10" s="479"/>
      <c r="AM10" s="335">
        <f>IF(ISNUMBER(Datos!R10),Datos!R10," - ")</f>
        <v>16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1.5</v>
      </c>
      <c r="BH10" s="260">
        <f>IF(ISNUMBER(((Datos!L10/Datos!K10)*11)/factor_trimestre),((Datos!L10/Datos!K10)*11)/factor_trimestre," - ")</f>
        <v>34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-5.8823529411764705E-2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71</v>
      </c>
      <c r="O12" s="334"/>
      <c r="P12" s="334"/>
      <c r="Q12" s="226">
        <f>IF(ISNUMBER(Datos!P12),Datos!P12,0)</f>
        <v>133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187</v>
      </c>
      <c r="AI12" s="334" t="str">
        <f>IF(ISNUMBER(Datos!CD12),Datos!CD12,"-")</f>
        <v>-</v>
      </c>
      <c r="AJ12" s="334" t="str">
        <f>IF(ISNUMBER(Datos!EN12),Datos!EN12," - ")</f>
        <v xml:space="preserve"> - </v>
      </c>
      <c r="AK12" s="334"/>
      <c r="AL12" s="479"/>
      <c r="AM12" s="335">
        <f>IF(ISNUMBER(Datos!R12),Datos!R12," - ")</f>
        <v>1590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169</v>
      </c>
      <c r="BD12" s="229">
        <f>IF(ISNUMBER(Datos!N12),Datos!N12," - ")</f>
        <v>276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1.0680851063829788</v>
      </c>
      <c r="BH12" s="260">
        <f>IF(ISNUMBER(((IF(J_V="SI",Datos!L12/Datos!K12,(Datos!L12+Datos!AB12)/(Datos!K12+Datos!AA12)))*11)/factor_trimestre),((IF(J_V="SI",Datos!L12/Datos!K12,(Datos!L12+Datos!AB12)/(Datos!K12+Datos!AA12)))*11)/factor_trimestre," - ")</f>
        <v>4.5856573705179287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6.354515050167224E-2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35</v>
      </c>
      <c r="G13" s="898">
        <f t="shared" si="0"/>
        <v>35</v>
      </c>
      <c r="H13" s="899">
        <f t="shared" si="0"/>
        <v>0</v>
      </c>
      <c r="I13" s="898">
        <f t="shared" si="0"/>
        <v>0</v>
      </c>
      <c r="J13" s="867">
        <f t="shared" si="0"/>
        <v>0</v>
      </c>
      <c r="K13" s="867">
        <f t="shared" si="0"/>
        <v>0</v>
      </c>
      <c r="L13" s="899">
        <f t="shared" si="0"/>
        <v>0</v>
      </c>
      <c r="M13" s="899">
        <f t="shared" si="0"/>
        <v>0</v>
      </c>
      <c r="N13" s="899">
        <f t="shared" si="0"/>
        <v>71</v>
      </c>
      <c r="O13" s="900">
        <f t="shared" si="0"/>
        <v>0</v>
      </c>
      <c r="P13" s="900">
        <f t="shared" si="0"/>
        <v>0</v>
      </c>
      <c r="Q13" s="899">
        <f t="shared" si="0"/>
        <v>134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40</v>
      </c>
      <c r="AD13" s="899">
        <f t="shared" si="1"/>
        <v>0</v>
      </c>
      <c r="AE13" s="899">
        <f t="shared" si="1"/>
        <v>0</v>
      </c>
      <c r="AF13" s="899">
        <f t="shared" si="1"/>
        <v>34</v>
      </c>
      <c r="AG13" s="899">
        <f t="shared" si="1"/>
        <v>0</v>
      </c>
      <c r="AH13" s="899">
        <f t="shared" si="1"/>
        <v>187</v>
      </c>
      <c r="AI13" s="899">
        <f t="shared" si="1"/>
        <v>0</v>
      </c>
      <c r="AJ13" s="899">
        <f t="shared" si="1"/>
        <v>0</v>
      </c>
      <c r="AK13" s="899">
        <f t="shared" si="1"/>
        <v>0</v>
      </c>
      <c r="AL13" s="899">
        <f t="shared" si="1"/>
        <v>0</v>
      </c>
      <c r="AM13" s="899">
        <f t="shared" si="1"/>
        <v>1606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171</v>
      </c>
      <c r="BD13" s="899">
        <f t="shared" si="1"/>
        <v>276</v>
      </c>
      <c r="BE13" s="899">
        <f t="shared" si="1"/>
        <v>0</v>
      </c>
      <c r="BF13" s="899">
        <f t="shared" si="1"/>
        <v>0</v>
      </c>
      <c r="BG13" s="899">
        <f>IF(ISNUMBER(Datos!K13/Datos!J13),Datos!K13/Datos!J13," - ")</f>
        <v>1.0566037735849056</v>
      </c>
      <c r="BH13" s="903">
        <f>IF(ISNUMBER(((Datos!L13/Datos!K13)*11)/factor_trimestre),((Datos!L13/Datos!K13)*11)/factor_trimestre," - ")</f>
        <v>4.4553571428571432</v>
      </c>
      <c r="BI13" s="899">
        <f>IF(ISNUMBER('Resol  Asuntos'!D13/NºAsuntos!G13),'Resol  Asuntos'!D13/NºAsuntos!G13," - ")</f>
        <v>0.22619047619047619</v>
      </c>
      <c r="BJ13" s="899" t="str">
        <f>IF(ISNUMBER(Datos!CI13/Datos!CJ13),Datos!CI13/Datos!CJ13," - ")</f>
        <v xml:space="preserve"> - </v>
      </c>
      <c r="BK13" s="899">
        <f>SUBTOTAL(9,BK8:BK12)</f>
        <v>0</v>
      </c>
      <c r="BL13" s="899">
        <f>IF(ISNUMBER((I13-AB13+L13)/(F13)),(I13-AB13+L13)/(F13)," - ")</f>
        <v>-8.5714285714285715E-2</v>
      </c>
      <c r="BM13" s="904">
        <f>SUBTOTAL(9,BM9:BM12)</f>
        <v>4.721621089907535E-3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1093</v>
      </c>
      <c r="G16" s="598">
        <f>IF(ISNUMBER(IF(D_I="SI",Datos!I16,Datos!I16+Datos!AC16)),IF(D_I="SI",Datos!I16,Datos!I16+Datos!AC16)," - ")</f>
        <v>1066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563</v>
      </c>
      <c r="AC16" s="226">
        <f>IF(ISNUMBER(Datos!Q16),Datos!Q16," - ")</f>
        <v>21</v>
      </c>
      <c r="AD16" s="334"/>
      <c r="AE16" s="484"/>
      <c r="AF16" s="596">
        <f>IF(ISNUMBER(IF(D_I="SI",Datos!L16,Datos!L16+Datos!AF16)),IF(D_I="SI",Datos!L16,Datos!L16+Datos!AF16)," - ")</f>
        <v>1100</v>
      </c>
      <c r="AG16" s="334"/>
      <c r="AH16" s="334"/>
      <c r="AI16" s="334"/>
      <c r="AJ16" s="334"/>
      <c r="AK16" s="334"/>
      <c r="AL16" s="479"/>
      <c r="AM16" s="335">
        <f>IF(ISNUMBER(Datos!R16),Datos!R16," - ")</f>
        <v>239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126</v>
      </c>
      <c r="BD16" s="229">
        <f>IF(ISNUMBER(Datos!N16),Datos!N16," - ")</f>
        <v>271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0.987719298245614</v>
      </c>
      <c r="BH16" s="260">
        <f>IF(ISNUMBER(((IF(D_I="SI",Datos!L16/Datos!K16,(Datos!L16+Datos!AF16)/(Datos!K16+Datos!AE16)))*11)/factor_trimestre),((IF(D_I="SI",Datos!L16/Datos!K16,(Datos!L16+Datos!AF16)/(Datos!K16+Datos!AE16)))*11)/factor_trimestre," - ")</f>
        <v>5.8614564831261111</v>
      </c>
      <c r="BI16" s="243">
        <f>IF(ISNUMBER('Resol  Asuntos'!D16/NºAsuntos!G16),'Resol  Asuntos'!D16/NºAsuntos!G16," - ")</f>
        <v>0.22380106571936056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50</v>
      </c>
      <c r="AC17" s="226">
        <f>IF(ISNUMBER(Datos!Q17),Datos!Q17," - ")</f>
        <v>7</v>
      </c>
      <c r="AD17" s="334"/>
      <c r="AE17" s="484"/>
      <c r="AF17" s="332">
        <f>IF(ISNUMBER(Datos!L17),Datos!L17,"-")</f>
        <v>108</v>
      </c>
      <c r="AG17" s="334"/>
      <c r="AH17" s="334"/>
      <c r="AI17" s="334"/>
      <c r="AJ17" s="334"/>
      <c r="AK17" s="334"/>
      <c r="AL17" s="479"/>
      <c r="AM17" s="335">
        <f>IF(ISNUMBER(Datos!R17),Datos!R17," - ")</f>
        <v>18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40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1.0416666666666667</v>
      </c>
      <c r="BH17" s="260">
        <f>IF(ISNUMBER(((IF(D_I="SI",Datos!L17/Datos!K17,(Datos!L17+Datos!AF17)/(Datos!K17+Datos!AE17)))*11)/factor_trimestre),((IF(D_I="SI",Datos!L17/Datos!K17,(Datos!L17+Datos!AF17)/(Datos!K17+Datos!AE17)))*11)/factor_trimestre," - ")</f>
        <v>6.48</v>
      </c>
      <c r="BI17" s="243">
        <f>IF(ISNUMBER('Resol  Asuntos'!D17/NºAsuntos!G17),'Resol  Asuntos'!D17/NºAsuntos!G17," - ")</f>
        <v>0.14000000000000001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1093</v>
      </c>
      <c r="G18" s="898">
        <f>SUBTOTAL(9,G15:G17)</f>
        <v>1176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613</v>
      </c>
      <c r="AC18" s="899">
        <f t="shared" si="4"/>
        <v>28</v>
      </c>
      <c r="AD18" s="899">
        <f t="shared" si="4"/>
        <v>0</v>
      </c>
      <c r="AE18" s="899">
        <f t="shared" si="4"/>
        <v>0</v>
      </c>
      <c r="AF18" s="899">
        <f t="shared" si="4"/>
        <v>1208</v>
      </c>
      <c r="AG18" s="899">
        <f t="shared" si="4"/>
        <v>0</v>
      </c>
      <c r="AH18" s="899">
        <f t="shared" si="4"/>
        <v>0</v>
      </c>
      <c r="AI18" s="899">
        <f t="shared" si="4"/>
        <v>0</v>
      </c>
      <c r="AJ18" s="899">
        <f t="shared" si="4"/>
        <v>0</v>
      </c>
      <c r="AK18" s="899">
        <f t="shared" si="4"/>
        <v>0</v>
      </c>
      <c r="AL18" s="899">
        <f t="shared" si="4"/>
        <v>0</v>
      </c>
      <c r="AM18" s="899">
        <f t="shared" si="4"/>
        <v>257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133</v>
      </c>
      <c r="BD18" s="899">
        <f t="shared" si="4"/>
        <v>311</v>
      </c>
      <c r="BE18" s="899">
        <f t="shared" si="4"/>
        <v>0</v>
      </c>
      <c r="BF18" s="899">
        <f t="shared" si="4"/>
        <v>0</v>
      </c>
      <c r="BG18" s="899">
        <f>IF(ISNUMBER(Datos!K18/Datos!J18),Datos!K18/Datos!J18," - ")</f>
        <v>0.99190938511326865</v>
      </c>
      <c r="BH18" s="903">
        <f>IF(ISNUMBER(((Datos!L18/Datos!K18)*11)/factor_trimestre),((Datos!L18/Datos!K18)*11)/factor_trimestre," - ")</f>
        <v>5.9119086460032628</v>
      </c>
      <c r="BI18" s="899">
        <f>SUBTOTAL(9,BI15:BI17)</f>
        <v>0.36380106571936055</v>
      </c>
      <c r="BJ18" s="899">
        <f>SUBTOTAL(9,BJ15:BJ17)</f>
        <v>0</v>
      </c>
      <c r="BK18" s="899">
        <f>SUBTOTAL(9,BK15:BK17)</f>
        <v>0</v>
      </c>
      <c r="BL18" s="899">
        <f>IF(ISNUMBER((I18-AB18+L18)/(F18)),(I18-AB18+L18)/(F18)," - ")</f>
        <v>-0.56084172003659649</v>
      </c>
      <c r="BM18" s="905">
        <f>IF(ISNUMBER((Datos!P18-Datos!Q18)/(Datos!R18-Datos!P18+Datos!Q18)),(Datos!P18-Datos!Q18)/(Datos!R18-Datos!P18+Datos!Q18)," - ")</f>
        <v>3.2128514056224897E-2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1128</v>
      </c>
      <c r="G19" s="820">
        <f t="shared" si="6"/>
        <v>1211</v>
      </c>
      <c r="H19" s="822">
        <f t="shared" si="6"/>
        <v>0</v>
      </c>
      <c r="I19" s="820">
        <f t="shared" si="6"/>
        <v>0</v>
      </c>
      <c r="J19" s="822">
        <f t="shared" si="6"/>
        <v>0</v>
      </c>
      <c r="K19" s="822">
        <f t="shared" si="6"/>
        <v>0</v>
      </c>
      <c r="L19" s="881">
        <f t="shared" si="6"/>
        <v>0</v>
      </c>
      <c r="M19" s="881">
        <f t="shared" si="6"/>
        <v>0</v>
      </c>
      <c r="N19" s="881">
        <f t="shared" si="6"/>
        <v>71</v>
      </c>
      <c r="O19" s="881">
        <f t="shared" si="6"/>
        <v>0</v>
      </c>
      <c r="P19" s="881">
        <f t="shared" si="6"/>
        <v>0</v>
      </c>
      <c r="Q19" s="822">
        <f t="shared" si="6"/>
        <v>170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616</v>
      </c>
      <c r="AC19" s="821">
        <f t="shared" si="7"/>
        <v>68</v>
      </c>
      <c r="AD19" s="821">
        <f t="shared" si="7"/>
        <v>0</v>
      </c>
      <c r="AE19" s="821">
        <f t="shared" si="7"/>
        <v>0</v>
      </c>
      <c r="AF19" s="828">
        <f t="shared" si="7"/>
        <v>1242</v>
      </c>
      <c r="AG19" s="828">
        <f t="shared" si="7"/>
        <v>0</v>
      </c>
      <c r="AH19" s="828">
        <f t="shared" si="7"/>
        <v>187</v>
      </c>
      <c r="AI19" s="828">
        <f t="shared" si="7"/>
        <v>0</v>
      </c>
      <c r="AJ19" s="821">
        <f t="shared" si="7"/>
        <v>0</v>
      </c>
      <c r="AK19" s="828">
        <f t="shared" si="7"/>
        <v>0</v>
      </c>
      <c r="AL19" s="828">
        <f t="shared" si="7"/>
        <v>0</v>
      </c>
      <c r="AM19" s="828">
        <f t="shared" si="7"/>
        <v>1863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304</v>
      </c>
      <c r="BD19" s="820">
        <f t="shared" si="7"/>
        <v>587</v>
      </c>
      <c r="BE19" s="820">
        <f t="shared" si="7"/>
        <v>0</v>
      </c>
      <c r="BF19" s="830">
        <f t="shared" si="7"/>
        <v>0</v>
      </c>
      <c r="BG19" s="915">
        <f>IF(ISNUMBER(Datos!K19/Datos!J19),Datos!K19/Datos!J19," - ")</f>
        <v>1.0247208931419458</v>
      </c>
      <c r="BH19" s="915">
        <f>IF(ISNUMBER(((Datos!L19/Datos!K19)*11)/factor_trimestre),((Datos!L19/Datos!K19)*11)/factor_trimestre," - ")</f>
        <v>5.1501945525291832</v>
      </c>
      <c r="BI19" s="813">
        <f>IF(ISNUMBER(Datos!J19/Datos!I19),Datos!J19/Datos!I19," - ")</f>
        <v>0.56742081447963799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-0.54609929078014185</v>
      </c>
      <c r="BM19" s="889">
        <f>IF(ISNUMBER((Datos!P19-Datos!Q19+R19)/(Datos!R19-Datos!P19+Datos!Q19-R19)),(Datos!P19-Datos!Q19+R19)/(Datos!R19-Datos!P19+Datos!Q19-R19)," - ")</f>
        <v>5.7921635434412269E-2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484.4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610.83658480262409</v>
      </c>
      <c r="G21" s="552">
        <f>IF(ISNUMBER(STDEV(G8:G18)),STDEV(G8:G18),"-")</f>
        <v>583.2377731251637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312.92618938017955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77.213124963743482</v>
      </c>
      <c r="BD21" s="551"/>
      <c r="BE21" s="551">
        <f>IF(ISNUMBER(STDEV(BE8:BE18)),STDEV(BE8:BE18),"-")</f>
        <v>0</v>
      </c>
      <c r="BF21" s="556">
        <f>IF(ISNUMBER(STDEV(BF8:BF18)),STDEV(BF8:BF18),"-")</f>
        <v>0</v>
      </c>
      <c r="BG21" s="775">
        <f>IF(ISNUMBER(STDEV(BG8:BG18)),STDEV(BG8:BG18),"-")</f>
        <v>0.1950603408133674</v>
      </c>
      <c r="BH21" s="776">
        <f>IF(ISNUMBER(STDEV(BH8:BH18)),STDEV(BH8:BH18),"-")</f>
        <v>11.679121263513098</v>
      </c>
      <c r="BI21" s="249">
        <f>IF(ISNUMBER(STDEV(BI8:BI18)),STDEV(BI8:BI18),"-")</f>
        <v>9.268257542622288E-2</v>
      </c>
      <c r="BJ21" s="230" t="str">
        <f>IF(ISNUMBER(BL21/BM21),BL21/BM21," - ")</f>
        <v xml:space="preserve"> - </v>
      </c>
      <c r="BK21" s="575"/>
      <c r="BL21" s="559">
        <f>IF(ISNUMBER(STDEV(BL8:BL18)),STDEV(BL8:BL18),"-")</f>
        <v>0.33596583073707192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tbKN1BaKthloTMN48t3kn/nx4HRyWdBw+8+L7peNKldu+ye4/LPBprWzTuR20xCwPRF6Ifs4MVs079DxPooR4g==" saltValue="1Rgagv8UsYj3GaajvBEDP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PAIS VASCO</v>
      </c>
    </row>
    <row r="2" spans="1:73" ht="16.5" customHeight="1">
      <c r="C2" s="528" t="str">
        <f>Criterios!A10 &amp;"  "&amp;Criterios!B10 &amp; "  " &amp; IF(NOT(ISBLANK(Criterios!A11)),Criterios!A11 &amp;"  "&amp;Criterios!B11,"")</f>
        <v>Provincias  BIZKAIA  Resumenes por Partidos Judiciales  GERNIKA-LUMO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35</v>
      </c>
      <c r="G10" s="225">
        <f>IF(ISNUMBER(Datos!I10),Datos!I10," - ")</f>
        <v>35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2</v>
      </c>
      <c r="AA10" s="332">
        <f>IF(ISNUMBER(Datos!L10),Datos!L10,"-")</f>
        <v>34</v>
      </c>
      <c r="AB10" s="334"/>
      <c r="AC10" s="334"/>
      <c r="AD10" s="484"/>
      <c r="AE10" s="484">
        <f>IF(ISNUMBER(Datos!R10),Datos!R10," - ")</f>
        <v>16</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-5.8823529411764705E-2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38</v>
      </c>
      <c r="AA12" s="332" t="str">
        <f>IF(ISNUMBER(IF(J_V="SI",Datos!L12,Datos!L12+Datos!AB12)-IF(Monitorios="SI",Datos!CD12,0)),
                          IF(J_V="SI",Datos!L12,Datos!L12+Datos!AB12)-IF(Monitorios="SI",Datos!CD12,0),
                          " - ")</f>
        <v xml:space="preserve"> - </v>
      </c>
      <c r="AB12" s="334"/>
      <c r="AC12" s="334"/>
      <c r="AD12" s="484"/>
      <c r="AE12" s="484">
        <f>IF(ISNUMBER(Datos!R12),Datos!R12," - ")</f>
        <v>1590</v>
      </c>
      <c r="AF12" s="229" t="str">
        <f>IF(ISNUMBER(Datos!BV12),Datos!BV12," - ")</f>
        <v xml:space="preserve"> - </v>
      </c>
      <c r="AG12" s="225" t="str">
        <f>IF(ISNUMBER(Datos!DV12),Datos!DV12," - ")</f>
        <v xml:space="preserve"> - </v>
      </c>
      <c r="AH12" s="298"/>
      <c r="AI12" s="227"/>
      <c r="AJ12" s="225">
        <f>IF(ISNUMBER(Datos!M12),Datos!M12," - ")</f>
        <v>169</v>
      </c>
      <c r="AK12" s="229">
        <f>IF(ISNUMBER(Datos!N12),Datos!N12," - ")</f>
        <v>276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4.5856573705179287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6.354515050167224E-2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35</v>
      </c>
      <c r="G13" s="898">
        <f>SUBTOTAL(9,G8:G12)</f>
        <v>35</v>
      </c>
      <c r="H13" s="908"/>
      <c r="I13" s="898">
        <f t="shared" ref="I13:N13" si="0">SUBTOTAL(9,I8:I12)</f>
        <v>0</v>
      </c>
      <c r="J13" s="867">
        <f t="shared" si="0"/>
        <v>0</v>
      </c>
      <c r="K13" s="908">
        <f t="shared" si="0"/>
        <v>0</v>
      </c>
      <c r="L13" s="908">
        <f t="shared" si="0"/>
        <v>0</v>
      </c>
      <c r="M13" s="908">
        <f t="shared" si="0"/>
        <v>0</v>
      </c>
      <c r="N13" s="908">
        <f t="shared" si="0"/>
        <v>134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40</v>
      </c>
      <c r="AA13" s="900">
        <f t="shared" si="2"/>
        <v>34</v>
      </c>
      <c r="AB13" s="900">
        <f t="shared" si="2"/>
        <v>0</v>
      </c>
      <c r="AC13" s="900">
        <f t="shared" si="2"/>
        <v>0</v>
      </c>
      <c r="AD13" s="900">
        <f t="shared" si="2"/>
        <v>0</v>
      </c>
      <c r="AE13" s="900">
        <f t="shared" si="2"/>
        <v>1606</v>
      </c>
      <c r="AF13" s="908">
        <f t="shared" si="2"/>
        <v>0</v>
      </c>
      <c r="AG13" s="908">
        <f t="shared" si="2"/>
        <v>0</v>
      </c>
      <c r="AH13" s="908">
        <f t="shared" si="2"/>
        <v>0</v>
      </c>
      <c r="AI13" s="908">
        <f t="shared" si="2"/>
        <v>0</v>
      </c>
      <c r="AJ13" s="908">
        <f t="shared" si="2"/>
        <v>171</v>
      </c>
      <c r="AK13" s="908">
        <f t="shared" si="2"/>
        <v>276</v>
      </c>
      <c r="AL13" s="908">
        <f t="shared" si="2"/>
        <v>0</v>
      </c>
      <c r="AM13" s="908">
        <f t="shared" si="2"/>
        <v>0</v>
      </c>
      <c r="AN13" s="908">
        <f t="shared" si="2"/>
        <v>0</v>
      </c>
      <c r="AO13" s="904">
        <f>IF(ISNUMBER(((NºAsuntos!I13/NºAsuntos!G13)*11)/factor_trimestre),((NºAsuntos!I13/NºAsuntos!G13)*11)/factor_trimestre," - ")</f>
        <v>4.7023809523809517</v>
      </c>
      <c r="AP13" s="910" t="str">
        <f>IF(ISNUMBER(Datos!CI13/Datos!CJ13),Datos!CI13/Datos!CJ13," - ")</f>
        <v xml:space="preserve"> - </v>
      </c>
      <c r="AQ13" s="928">
        <f t="shared" ref="AQ13:AV13" si="3">SUBTOTAL(9,AQ9:AQ12)</f>
        <v>0</v>
      </c>
      <c r="AR13" s="928">
        <f t="shared" si="3"/>
        <v>4.721621089907535E-3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1093</v>
      </c>
      <c r="G16" s="225">
        <f>IF(ISNUMBER(IF(D_I="SI",Datos!I16,Datos!I16+Datos!AC16)),IF(D_I="SI",Datos!I16,Datos!I16+Datos!AC16)," - ")</f>
        <v>1066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563</v>
      </c>
      <c r="Z16" s="619">
        <f>IF(ISNUMBER(Datos!Q16),Datos!Q16," - ")</f>
        <v>21</v>
      </c>
      <c r="AA16" s="332">
        <f>IF(ISNUMBER(IF(D_I="SI",Datos!L16,Datos!L16+Datos!AF16)),IF(D_I="SI",Datos!L16,Datos!L16+Datos!AF16)," - ")</f>
        <v>1100</v>
      </c>
      <c r="AB16" s="334"/>
      <c r="AC16" s="334"/>
      <c r="AD16" s="484"/>
      <c r="AE16" s="484">
        <f>IF(ISNUMBER(Datos!R16),Datos!R16," - ")</f>
        <v>239</v>
      </c>
      <c r="AF16" s="229" t="str">
        <f>IF(ISNUMBER(Datos!BV16),Datos!BV16," - ")</f>
        <v xml:space="preserve"> - </v>
      </c>
      <c r="AG16" s="225"/>
      <c r="AH16" s="298"/>
      <c r="AI16" s="227"/>
      <c r="AJ16" s="225">
        <f>IF(ISNUMBER(Datos!M16),Datos!M16," - ")</f>
        <v>126</v>
      </c>
      <c r="AK16" s="229">
        <f>IF(ISNUMBER(Datos!N16),Datos!N16," - ")</f>
        <v>271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5.8614564831261111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50</v>
      </c>
      <c r="Z17" s="619">
        <f>IF(ISNUMBER(Datos!Q17),Datos!Q17," - ")</f>
        <v>7</v>
      </c>
      <c r="AA17" s="332">
        <f>IF(ISNUMBER(Datos!L17),Datos!L17,"-")</f>
        <v>108</v>
      </c>
      <c r="AB17" s="334"/>
      <c r="AC17" s="334"/>
      <c r="AD17" s="484"/>
      <c r="AE17" s="484">
        <f>IF(ISNUMBER(Datos!R17),Datos!R17," - ")</f>
        <v>18</v>
      </c>
      <c r="AF17" s="229" t="str">
        <f>IF(ISNUMBER(Datos!BV17),Datos!BV17," - ")</f>
        <v xml:space="preserve"> - </v>
      </c>
      <c r="AG17" s="225" t="str">
        <f>IF(ISNUMBER(Datos!DV17),Datos!DV17," - ")</f>
        <v xml:space="preserve"> - </v>
      </c>
      <c r="AH17" s="298"/>
      <c r="AI17" s="227"/>
      <c r="AJ17" s="225">
        <f>IF(ISNUMBER(Datos!M17),Datos!M17," - ")</f>
        <v>7</v>
      </c>
      <c r="AK17" s="229">
        <f>IF(ISNUMBER(Datos!N17),Datos!N17," - ")</f>
        <v>40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6.48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1093</v>
      </c>
      <c r="G18" s="898">
        <f>SUBTOTAL(9,G15:G17)</f>
        <v>1176</v>
      </c>
      <c r="H18" s="932">
        <f>SUBTOTAL(9,H15:H17)</f>
        <v>0</v>
      </c>
      <c r="I18" s="911">
        <f>SUBTOTAL(9,I15:I17)</f>
        <v>0</v>
      </c>
      <c r="J18" s="867">
        <f>SUBTOTAL(9,J14:J17)</f>
        <v>0</v>
      </c>
      <c r="K18" s="932">
        <f t="shared" ref="K18:S18" si="4">SUBTOTAL(9,K15:K17)</f>
        <v>0</v>
      </c>
      <c r="L18" s="932">
        <f t="shared" si="4"/>
        <v>0</v>
      </c>
      <c r="M18" s="932">
        <f t="shared" si="4"/>
        <v>0</v>
      </c>
      <c r="N18" s="932">
        <f t="shared" si="4"/>
        <v>36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613</v>
      </c>
      <c r="Z18" s="932">
        <f t="shared" si="5"/>
        <v>28</v>
      </c>
      <c r="AA18" s="932">
        <f t="shared" si="5"/>
        <v>1208</v>
      </c>
      <c r="AB18" s="932">
        <f t="shared" si="5"/>
        <v>0</v>
      </c>
      <c r="AC18" s="932">
        <f t="shared" si="5"/>
        <v>0</v>
      </c>
      <c r="AD18" s="932">
        <f t="shared" si="5"/>
        <v>0</v>
      </c>
      <c r="AE18" s="932">
        <f t="shared" si="5"/>
        <v>257</v>
      </c>
      <c r="AF18" s="932">
        <f t="shared" si="5"/>
        <v>0</v>
      </c>
      <c r="AG18" s="932">
        <f t="shared" si="5"/>
        <v>0</v>
      </c>
      <c r="AH18" s="932">
        <f t="shared" si="5"/>
        <v>0</v>
      </c>
      <c r="AI18" s="932">
        <f t="shared" si="5"/>
        <v>0</v>
      </c>
      <c r="AJ18" s="932">
        <f t="shared" si="5"/>
        <v>133</v>
      </c>
      <c r="AK18" s="932">
        <f t="shared" si="5"/>
        <v>311</v>
      </c>
      <c r="AL18" s="932">
        <f t="shared" si="5"/>
        <v>0</v>
      </c>
      <c r="AM18" s="932">
        <f t="shared" si="5"/>
        <v>0</v>
      </c>
      <c r="AN18" s="932">
        <f t="shared" si="5"/>
        <v>0</v>
      </c>
      <c r="AO18" s="934">
        <f>IF(ISNUMBER(((NºAsuntos!I18/NºAsuntos!G18)*11)/factor_trimestre),((NºAsuntos!I18/NºAsuntos!G18)*11)/factor_trimestre," - ")</f>
        <v>5.9119086460032628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1128</v>
      </c>
      <c r="G19" s="820">
        <f t="shared" si="7"/>
        <v>1211</v>
      </c>
      <c r="H19" s="821">
        <f t="shared" si="7"/>
        <v>0</v>
      </c>
      <c r="I19" s="820">
        <f t="shared" si="7"/>
        <v>0</v>
      </c>
      <c r="J19" s="822">
        <f t="shared" si="7"/>
        <v>0</v>
      </c>
      <c r="K19" s="820">
        <f t="shared" si="7"/>
        <v>0</v>
      </c>
      <c r="L19" s="823">
        <f t="shared" si="7"/>
        <v>0</v>
      </c>
      <c r="M19" s="820">
        <f t="shared" si="7"/>
        <v>0</v>
      </c>
      <c r="N19" s="821">
        <f t="shared" si="7"/>
        <v>170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616</v>
      </c>
      <c r="Z19" s="827">
        <f t="shared" si="8"/>
        <v>68</v>
      </c>
      <c r="AA19" s="828">
        <f t="shared" si="8"/>
        <v>1242</v>
      </c>
      <c r="AB19" s="828">
        <f t="shared" si="8"/>
        <v>0</v>
      </c>
      <c r="AC19" s="828">
        <f t="shared" si="8"/>
        <v>0</v>
      </c>
      <c r="AD19" s="829">
        <f t="shared" si="8"/>
        <v>0</v>
      </c>
      <c r="AE19" s="829">
        <f t="shared" si="8"/>
        <v>1863</v>
      </c>
      <c r="AF19" s="830">
        <f t="shared" si="8"/>
        <v>0</v>
      </c>
      <c r="AG19" s="831">
        <f t="shared" si="8"/>
        <v>0</v>
      </c>
      <c r="AH19" s="832">
        <f t="shared" si="8"/>
        <v>0</v>
      </c>
      <c r="AI19" s="830">
        <f t="shared" si="8"/>
        <v>0</v>
      </c>
      <c r="AJ19" s="820">
        <f t="shared" si="8"/>
        <v>304</v>
      </c>
      <c r="AK19" s="820">
        <f t="shared" si="8"/>
        <v>587</v>
      </c>
      <c r="AL19" s="820">
        <f t="shared" si="8"/>
        <v>0</v>
      </c>
      <c r="AM19" s="833">
        <f t="shared" si="8"/>
        <v>0</v>
      </c>
      <c r="AN19" s="823">
        <f>IF(ISNUMBER(Datos!K19/Datos!J19),Datos!K19/Datos!J19," - ")</f>
        <v>1.0247208931419458</v>
      </c>
      <c r="AO19" s="823">
        <f>IF(ISNUMBER(FIND("06",Criterios!A8,1)),(IF(ISNUMBER(((Datos!R19/Datos!Q19)*11)/factor_trimestre),((Datos!R19/Datos!Q19)*11)/factor_trimestre," - ")),(IF(ISNUMBER(((Datos!L19/Datos!K19)*11)/factor_trimestre),((Datos!L19/Datos!K19)*11)/factor_trimestre," - ")))</f>
        <v>5.1501945525291832</v>
      </c>
      <c r="AP19" s="834" t="str">
        <f>IF(ISNUMBER(Datos!CI19/Datos!CJ19),Datos!CI19/Datos!CJ19," - ")</f>
        <v xml:space="preserve"> - </v>
      </c>
      <c r="AQ19" s="834">
        <f>IF(OR(ISNUMBER(FIND("01",Criterios!A8,1)),ISNUMBER(FIND("02",Criterios!A8,1)),ISNUMBER(FIND("03",Criterios!A8,1)),ISNUMBER(FIND("04",Criterios!A8,1))),(J19-Y19+K19)/(F19-K19),(I19-Y19+K19)/(F19-K19))</f>
        <v>-0.54609929078014185</v>
      </c>
      <c r="AR19" s="834">
        <f>IF(ISNUMBER((Datos!P19-Datos!Q19+O19)/(Datos!R19-Datos!P19+Datos!Q19-O19)),(Datos!P19-Datos!Q19+O19)/(Datos!R19-Datos!P19+Datos!Q19-O19)," - ")</f>
        <v>5.7921635434412269E-2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484.4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610.83658480262409</v>
      </c>
      <c r="G21" s="552">
        <f>IF(ISNUMBER(STDEV(G8:G18)),STDEV(G8:G18),"-")</f>
        <v>583.2377731251637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77.213124963743482</v>
      </c>
      <c r="AK21" s="252"/>
      <c r="AL21" s="252">
        <f>IF(ISNUMBER(STDEV(AL8:AL18)),STDEV(AL8:AL18),"-")</f>
        <v>0</v>
      </c>
      <c r="AM21" s="254">
        <f>IF(ISNUMBER(STDEV(AM8:AM18)),STDEV(AM8:AM18),"-")</f>
        <v>0</v>
      </c>
      <c r="AN21" s="539">
        <f>IF(ISNUMBER(STDEV(AN8:AN18)),STDEV(AN8:AN18),"-")</f>
        <v>0</v>
      </c>
      <c r="AO21" s="540">
        <f>IF(ISNUMBER(STDEV(AO8:AO18)),STDEV(AO8:AO18),"-")</f>
        <v>11.65516468874765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gnvwCz2DPiJCDbpEquki1GJv5wHiVmjdz/ez8dlUXMy7MO9D/KWSyuNGuSK+O3N/R2/W+DpuU74ri0wAmR3hKw==" saltValue="80xcBSklqUlLrcH1w/4z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d3HQBuW3rrmed8tvAhtL4RyMocRMmI6BvelTu6q1k6ulPdtTYsR7x6Wis5WKxsLvqOmnK4VNtiq2hw7EAWuQCQ==" saltValue="tzG8KLpDa4LqpwR4YgzH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ws3GJ77FT8022AQB+SGVfYzzaByJx5nB8In1/TZDffNrCkyoBM5Ih7v61wk/izVqq895gnyw88DHtOAQYMqw==" saltValue="Y2f0LqOW6/iggHmV/NoPz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PAIS VASCO</v>
      </c>
    </row>
    <row r="2" spans="1:75" ht="16.5" customHeight="1">
      <c r="C2" s="488" t="str">
        <f>Criterios!A10 &amp;"  "&amp;Criterios!B10 &amp; "  " &amp; IF(NOT(ISBLANK(Criterios!A11)),Criterios!A11 &amp;"  "&amp;Criterios!B11,"")</f>
        <v>Provincias  BIZKAIA  Resumenes por Partidos Judiciales  GERNIKA-LUMO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0.22619047619047619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0.15994081955410003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P+OtjgwweZVsGOquo2TjtMlDB1VnZaTxdiiu7N2QkdvmS/VqA3QhTibiWqOLSYtp4bFf+1Hghi+ndsJKu3ceeg==" saltValue="dIwRCZLe0uIMfd1L3Z9N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Qtv57WdvnQFUVQ1kAE15Za19KYnVz32Oc1rBAk8Tim+G+Z/OF0RiCWTH2trD9DcwviosKiN1NeDXE4yzKrayA==" saltValue="SZBytezpFuQn0tteswG2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PAIS VASCO</v>
      </c>
      <c r="C2" s="375"/>
      <c r="D2" s="375"/>
      <c r="E2" s="375"/>
      <c r="F2" s="375"/>
    </row>
    <row r="3" spans="1:14" ht="19.5">
      <c r="A3" s="390" t="s">
        <v>115</v>
      </c>
      <c r="B3" s="391" t="str">
        <f>Criterios!A10 &amp;"  "&amp;Criterios!B10</f>
        <v>Provincias  BIZKAIA</v>
      </c>
      <c r="D3" s="375"/>
      <c r="E3" s="375"/>
      <c r="F3" s="375"/>
    </row>
    <row r="4" spans="1:14" ht="13.5" thickBot="1">
      <c r="A4" s="375"/>
      <c r="B4" s="391" t="str">
        <f>Criterios!A11 &amp;"  "&amp;Criterios!B11</f>
        <v>Resumenes por Partidos Judiciales  GERNIKA-LUMO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35</v>
      </c>
      <c r="D10" s="404">
        <f>IF(ISNUMBER(C10/Datos!BH10),C10/Datos!BH10," - ")</f>
        <v>35</v>
      </c>
      <c r="E10" s="403">
        <f>IF(ISNUMBER(Datos!J10),Datos!J10," - ")</f>
        <v>2</v>
      </c>
      <c r="F10" s="404">
        <f>IF(ISNUMBER(E10/B10),E10/B10," - ")</f>
        <v>2</v>
      </c>
      <c r="G10" s="403">
        <f>IF(ISNUMBER(Datos!K10),Datos!K10," - ")</f>
        <v>3</v>
      </c>
      <c r="H10" s="404">
        <f>IF(ISNUMBER(G10/B10),G10/B10," - ")</f>
        <v>3</v>
      </c>
      <c r="I10" s="403">
        <f>IF(ISNUMBER(Datos!L10),Datos!L10," - ")</f>
        <v>34</v>
      </c>
      <c r="J10" s="404">
        <f>IF(ISNUMBER(I10/B10),I10/B10," - ")</f>
        <v>34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1199</v>
      </c>
      <c r="D12" s="404">
        <f>IF(ISNUMBER(C12/Datos!BH12),C12/Datos!BH12," - ")</f>
        <v>299.75</v>
      </c>
      <c r="E12" s="403">
        <f>IF(ISNUMBER(IF(J_V="SI",Datos!J12,Datos!J12+Datos!Z12)),IF(J_V="SI",Datos!J12,Datos!J12+Datos!Z12)," - ")</f>
        <v>705</v>
      </c>
      <c r="F12" s="404">
        <f>IF(ISNUMBER(E12/B12),E12/B12," - ")</f>
        <v>176.25</v>
      </c>
      <c r="G12" s="403">
        <f>IF(ISNUMBER(IF(J_V="SI",Datos!K12,Datos!K12+Datos!AA12)),IF(J_V="SI",Datos!K12,Datos!K12+Datos!AA12)," - ")</f>
        <v>753</v>
      </c>
      <c r="H12" s="404">
        <f>IF(ISNUMBER(G12/B12),G12/B12," - ")</f>
        <v>188.25</v>
      </c>
      <c r="I12" s="403">
        <f>IF(ISNUMBER(IF(J_V="SI",Datos!L12,Datos!L12+Datos!AB12)),IF(J_V="SI",Datos!L12,Datos!L12+Datos!AB12)," - ")</f>
        <v>1151</v>
      </c>
      <c r="J12" s="404">
        <f>IF(ISNUMBER(I12/B12),I12/B12," - ")</f>
        <v>287.75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1234</v>
      </c>
      <c r="D13" s="850" t="str">
        <f>IF(ISNUMBER(C13/Datos!BI13),C13/Datos!BI13," - ")</f>
        <v xml:space="preserve"> - </v>
      </c>
      <c r="E13" s="849">
        <f>SUBTOTAL(9,E8:E12)</f>
        <v>707</v>
      </c>
      <c r="F13" s="850">
        <f>IF(ISNUMBER(E13/B13),E13/B13," - ")</f>
        <v>176.75</v>
      </c>
      <c r="G13" s="849">
        <f>SUBTOTAL(9,G8:G12)</f>
        <v>756</v>
      </c>
      <c r="H13" s="850">
        <f>IF(ISNUMBER(G13/B13),G13/B13," - ")</f>
        <v>189</v>
      </c>
      <c r="I13" s="849">
        <f>SUBTOTAL(9,I8:I12)</f>
        <v>1185</v>
      </c>
      <c r="J13" s="850">
        <f>IF(ISNUMBER(I13/B13),I13/B13," - ")</f>
        <v>296.25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1066</v>
      </c>
      <c r="D16" s="404">
        <f>IF(ISNUMBER(C16/Datos!BH16),C16/Datos!BH16," - ")</f>
        <v>266.5</v>
      </c>
      <c r="E16" s="403">
        <f>IF(ISNUMBER(IF(D_I="SI",Datos!J16,Datos!J16+Datos!AD16)),IF(D_I="SI",Datos!J16,Datos!J16+Datos!AD16)," - ")</f>
        <v>570</v>
      </c>
      <c r="F16" s="404">
        <f>IF(ISNUMBER(E16/B16),E16/B16," - ")</f>
        <v>142.5</v>
      </c>
      <c r="G16" s="403">
        <f>IF(ISNUMBER(IF(D_I="SI",Datos!K16,Datos!K16+Datos!AE16)),IF(D_I="SI",Datos!K16,Datos!K16+Datos!AE16)," - ")</f>
        <v>563</v>
      </c>
      <c r="H16" s="404">
        <f>IF(ISNUMBER(G16/B16),G16/B16," - ")</f>
        <v>140.75</v>
      </c>
      <c r="I16" s="403">
        <f>IF(ISNUMBER(IF(D_I="SI",Datos!L16,Datos!L16+Datos!AF16)),IF(D_I="SI",Datos!L16,Datos!L16+Datos!AF16)," - ")</f>
        <v>1100</v>
      </c>
      <c r="J16" s="404">
        <f>IF(ISNUMBER(I16/B16),I16/B16," - ")</f>
        <v>275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110</v>
      </c>
      <c r="D17" s="404">
        <f>IF(ISNUMBER(C17/Datos!BH17),C17/Datos!BH17," - ")</f>
        <v>110</v>
      </c>
      <c r="E17" s="403">
        <f>IF(ISNUMBER(IF(D_I="SI",Datos!J17,Datos!J17+Datos!AD17)),IF(D_I="SI",Datos!J17,Datos!J17+Datos!AD17)," - ")</f>
        <v>48</v>
      </c>
      <c r="F17" s="404">
        <f>IF(ISNUMBER(E17/B17),E17/B17," - ")</f>
        <v>48</v>
      </c>
      <c r="G17" s="403">
        <f>IF(ISNUMBER(IF(D_I="SI",Datos!K17,Datos!K17+Datos!AE17)),IF(D_I="SI",Datos!K17,Datos!K17+Datos!AE17)," - ")</f>
        <v>50</v>
      </c>
      <c r="H17" s="404">
        <f>IF(ISNUMBER(G17/B17),G17/B17," - ")</f>
        <v>50</v>
      </c>
      <c r="I17" s="403">
        <f>IF(ISNUMBER(IF(D_I="SI",Datos!L17,Datos!L17+Datos!AF17)),IF(D_I="SI",Datos!L17,Datos!L17+Datos!AF17)," - ")</f>
        <v>108</v>
      </c>
      <c r="J17" s="404">
        <f>IF(ISNUMBER(I17/B17),I17/B17," - ")</f>
        <v>108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1176</v>
      </c>
      <c r="D18" s="850" t="str">
        <f>IF(ISNUMBER(C18/Datos!BI18),C18/Datos!BI18," - ")</f>
        <v xml:space="preserve"> - </v>
      </c>
      <c r="E18" s="849">
        <f>SUBTOTAL(9,E14:E17)</f>
        <v>618</v>
      </c>
      <c r="F18" s="850">
        <f>IF(ISNUMBER(E18/B18),E18/B18," - ")</f>
        <v>154.5</v>
      </c>
      <c r="G18" s="849">
        <f>SUBTOTAL(9,G14:G17)</f>
        <v>613</v>
      </c>
      <c r="H18" s="850">
        <f>IF(ISNUMBER(G18/B18),G18/B18," - ")</f>
        <v>153.25</v>
      </c>
      <c r="I18" s="849">
        <f>SUBTOTAL(9,I14:I17)</f>
        <v>1208</v>
      </c>
      <c r="J18" s="850">
        <f>IF(ISNUMBER(I18/B18),I18/B18," - ")</f>
        <v>302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2410</v>
      </c>
      <c r="D19" s="795" t="str">
        <f>IF(ISNUMBER(C19/Datos!BI19),C19/Datos!BI19," - ")</f>
        <v xml:space="preserve"> - </v>
      </c>
      <c r="E19" s="794">
        <f>SUBTOTAL(9,E9:E18)</f>
        <v>1325</v>
      </c>
      <c r="F19" s="795">
        <f>IF(ISNUMBER(E19/B19),E19/B19," - ")</f>
        <v>331.25</v>
      </c>
      <c r="G19" s="794">
        <f>SUBTOTAL(9,G9:G18)</f>
        <v>1369</v>
      </c>
      <c r="H19" s="795">
        <f>IF(ISNUMBER(G19/B19),G19/B19," - ")</f>
        <v>342.25</v>
      </c>
      <c r="I19" s="794">
        <f>SUBTOTAL(9,I9:I18)</f>
        <v>2393</v>
      </c>
      <c r="J19" s="795">
        <f>IF(ISNUMBER(I19/B19),I19/B19," - ")</f>
        <v>598.25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4afMqUhgbJhDtQikK0BxG+QHrrBtBkCqinVwRKymVp4QdtAshATQmyfQip8vSXpED/ejqPVQoaHBoQa7y99aGQ==" saltValue="Vx1oqYWWALWm1tkreXSx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PAIS VASCO</v>
      </c>
      <c r="W1"/>
      <c r="X1"/>
    </row>
    <row r="2" spans="1:65" ht="16.5" customHeight="1">
      <c r="C2" s="488" t="str">
        <f>Criterios!A10 &amp;"  "&amp;Criterios!B10 &amp; "  " &amp; IF(NOT(ISBLANK(Criterios!A11)),Criterios!A11 &amp;"  "&amp;Criterios!B11,"")</f>
        <v>Provincias  BIZKAIA  Resumenes por Partidos Judiciales  GERNIKA-LUMO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35</v>
      </c>
      <c r="G10" s="684">
        <f>IF(ISNUMBER(Datos!I10),Datos!I10," - ")</f>
        <v>35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34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1590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169</v>
      </c>
      <c r="AM12" s="690">
        <f>IF(ISNUMBER(Datos!N12+DatosP!N16),Datos!N12+DatosP!N16," - ")</f>
        <v>276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4.5856573705179287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6.354515050167224E-2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35</v>
      </c>
      <c r="G13" s="938">
        <f t="shared" si="0"/>
        <v>35</v>
      </c>
      <c r="H13" s="938">
        <f t="shared" si="0"/>
        <v>0</v>
      </c>
      <c r="I13" s="940">
        <f t="shared" si="0"/>
        <v>0</v>
      </c>
      <c r="J13" s="939">
        <f t="shared" si="0"/>
        <v>0</v>
      </c>
      <c r="K13" s="939">
        <f t="shared" si="0"/>
        <v>0</v>
      </c>
      <c r="L13" s="941">
        <f t="shared" si="0"/>
        <v>0</v>
      </c>
      <c r="M13" s="941">
        <f t="shared" si="0"/>
        <v>0</v>
      </c>
      <c r="N13" s="939">
        <f t="shared" si="0"/>
        <v>134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38</v>
      </c>
      <c r="AE13" s="939">
        <f t="shared" si="1"/>
        <v>0</v>
      </c>
      <c r="AF13" s="939">
        <f t="shared" si="1"/>
        <v>34</v>
      </c>
      <c r="AG13" s="939">
        <f t="shared" si="1"/>
        <v>0</v>
      </c>
      <c r="AH13" s="939">
        <f t="shared" si="1"/>
        <v>1590</v>
      </c>
      <c r="AI13" s="939">
        <f t="shared" si="1"/>
        <v>0</v>
      </c>
      <c r="AJ13" s="939">
        <f t="shared" si="1"/>
        <v>0</v>
      </c>
      <c r="AK13" s="939">
        <f t="shared" si="1"/>
        <v>0</v>
      </c>
      <c r="AL13" s="939">
        <f t="shared" si="1"/>
        <v>171</v>
      </c>
      <c r="AM13" s="939">
        <f t="shared" si="1"/>
        <v>276</v>
      </c>
      <c r="AN13" s="939">
        <f t="shared" si="1"/>
        <v>0</v>
      </c>
      <c r="AO13" s="939">
        <f t="shared" si="1"/>
        <v>0</v>
      </c>
      <c r="AP13" s="944">
        <f>IF(ISNUMBER(((Datos!L13/Datos!K13)*11)/factor_trimestre),((Datos!L13/Datos!K13)*11)/factor_trimestre," - ")</f>
        <v>4.4553571428571432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-8.5714285714285715E-2</v>
      </c>
      <c r="AU13" s="939" t="str">
        <f>IF(ISNUMBER((DatosP!#REF!-DatosP!#REF!+DatosP!#REF!)/(DatosP!#REF!+DatosP!#REF!-DatosP!#REF!-DatosP!#REF!)),(DatosP!#REF!-DatosP!#REF!+DatosP!#REF!)/(DatosP!#REF!+DatosP!#REF!-DatosP!#REF!-DatosP!#REF!)," - ")</f>
        <v xml:space="preserve"> - </v>
      </c>
      <c r="AV13" s="945">
        <f>SUBTOTAL(9,AV9:AV12)</f>
        <v>6.354515050167224E-2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5.9119086460032628</v>
      </c>
      <c r="AQ18" s="944">
        <f>IF(ISNUMBER(((Datos!M18/Datos!L18)*11)/factor_trimestre),((Datos!M18/Datos!L18)*11)/factor_trimestre," - ")</f>
        <v>0.33029801324503311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3.2128514056224897E-2</v>
      </c>
      <c r="AW18" s="946">
        <f>IF(ISNUMBER((Datos!Q18-Datos!R18)/(Datos!S18-Datos!Q18+Datos!R18)),(Datos!Q18-Datos!R18)/(Datos!S18-Datos!Q18+Datos!R18)," - ")</f>
        <v>-0.20017482517482518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35</v>
      </c>
      <c r="G19" s="951">
        <f t="shared" si="4"/>
        <v>35</v>
      </c>
      <c r="H19" s="951">
        <f t="shared" si="4"/>
        <v>0</v>
      </c>
      <c r="I19" s="952">
        <f t="shared" si="4"/>
        <v>0</v>
      </c>
      <c r="J19" s="953">
        <f t="shared" si="4"/>
        <v>0</v>
      </c>
      <c r="K19" s="953">
        <f t="shared" si="4"/>
        <v>0</v>
      </c>
      <c r="L19" s="953">
        <f t="shared" si="4"/>
        <v>0</v>
      </c>
      <c r="M19" s="953">
        <f t="shared" si="4"/>
        <v>0</v>
      </c>
      <c r="N19" s="952">
        <f t="shared" si="4"/>
        <v>134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38</v>
      </c>
      <c r="AE19" s="957">
        <f t="shared" si="5"/>
        <v>0</v>
      </c>
      <c r="AF19" s="958">
        <f t="shared" si="5"/>
        <v>34</v>
      </c>
      <c r="AG19" s="958">
        <f t="shared" si="5"/>
        <v>0</v>
      </c>
      <c r="AH19" s="958">
        <f t="shared" si="5"/>
        <v>1590</v>
      </c>
      <c r="AI19" s="958">
        <f t="shared" si="5"/>
        <v>0</v>
      </c>
      <c r="AJ19" s="959">
        <f t="shared" si="5"/>
        <v>0</v>
      </c>
      <c r="AK19" s="959">
        <f t="shared" si="5"/>
        <v>0</v>
      </c>
      <c r="AL19" s="951">
        <f t="shared" si="5"/>
        <v>171</v>
      </c>
      <c r="AM19" s="951">
        <f t="shared" si="5"/>
        <v>276</v>
      </c>
      <c r="AN19" s="951">
        <f t="shared" si="5"/>
        <v>0</v>
      </c>
      <c r="AO19" s="951">
        <f t="shared" si="5"/>
        <v>0</v>
      </c>
      <c r="AP19" s="951">
        <f>IF(ISNUMBER(((Datos!L19/Datos!K19)*11)/factor_trimestre),((Datos!L19/Datos!K19)*11)/factor_trimestre," - ")</f>
        <v>5.1501945525291832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-8.5714285714285715E-2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5.7921635434412269E-2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23.333333333333332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20.207259421636902</v>
      </c>
      <c r="G21" s="737">
        <f>IF(ISNUMBER(STDEV(G8:G18)),STDEV(G8:G18),"-")</f>
        <v>20.207259421636902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97.579027801401395</v>
      </c>
      <c r="AM21" s="736"/>
      <c r="AN21" s="736">
        <f>IF(ISNUMBER(STDEV(AN8:AN18)),STDEV(AN8:AN18),"-")</f>
        <v>0</v>
      </c>
      <c r="AO21" s="742">
        <f>IF(ISNUMBER(STDEV(AO8:AO18)),STDEV(AO8:AO18),"-")</f>
        <v>0</v>
      </c>
      <c r="AP21" s="779">
        <f>IF(ISNUMBER(STDEV(AP8:AP18)),STDEV(AP8:AP18),"-")</f>
        <v>14.522763203179595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cYuTvPg3TG1chVsy4nbW2zGFmGALPJWaOwB1EkwltIsXuFOtAFnZNwLTQGxomrGv1fJPge11+M4Q3pfL7VVFw==" saltValue="b6GB+d0X/uJq7bRvk8aA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BIZKAIA</v>
      </c>
      <c r="C3" s="415"/>
      <c r="F3" s="375"/>
      <c r="G3" s="375"/>
      <c r="H3" s="375"/>
    </row>
    <row r="4" spans="1:15" ht="13.5" thickBot="1">
      <c r="A4" s="375"/>
      <c r="B4" s="391" t="str">
        <f>Criterios!A11 &amp;"  "&amp;Criterios!B11</f>
        <v>Resumenes por Partidos Judiciales  GERNIKA-LUMO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QgdwJz74NJ4+dm+bKHk3WJGU9w8WJMCOQE9mQtEWi/dDiDa2GiRORsqmgegDY8Sf91K2eyNTZBOd7Ye0b0jt7g==" saltValue="1IQQcil/VSMGF7M3sUf/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PAIS VASCO</v>
      </c>
      <c r="C2" s="391"/>
    </row>
    <row r="3" spans="1:9" ht="19.5">
      <c r="A3" s="425" t="s">
        <v>11</v>
      </c>
      <c r="B3" s="391" t="str">
        <f>Criterios!A10 &amp;"  "&amp;Criterios!B10</f>
        <v>Provincias  BIZKAIA</v>
      </c>
      <c r="C3" s="391"/>
      <c r="D3" s="425"/>
    </row>
    <row r="4" spans="1:9" ht="13.5" thickBot="1">
      <c r="B4" s="391" t="str">
        <f>Criterios!A11 &amp;"  "&amp;Criterios!B11</f>
        <v>Resumenes por Partidos Judiciales  GERNIKA-LUMO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169</v>
      </c>
      <c r="E12" s="404">
        <f t="shared" si="0"/>
        <v>42.25</v>
      </c>
      <c r="F12" s="403">
        <f>IF(ISNUMBER(Datos!N12),Datos!N12," - ")</f>
        <v>276</v>
      </c>
      <c r="G12" s="404">
        <f t="shared" si="1"/>
        <v>69</v>
      </c>
      <c r="H12" s="403">
        <f>IF(ISNUMBER(Datos!O12),Datos!O12," - ")</f>
        <v>214</v>
      </c>
      <c r="I12" s="404">
        <f t="shared" si="2"/>
        <v>53.5</v>
      </c>
    </row>
    <row r="13" spans="1:9" ht="14.25" thickTop="1" thickBot="1">
      <c r="A13" s="848" t="str">
        <f>Datos!A13</f>
        <v>TOTAL</v>
      </c>
      <c r="B13" s="849">
        <f>Datos!AO13</f>
        <v>5</v>
      </c>
      <c r="C13" s="851">
        <f>Datos!AR13</f>
        <v>4</v>
      </c>
      <c r="D13" s="849">
        <f>SUBTOTAL(9,D9:D12)</f>
        <v>171</v>
      </c>
      <c r="E13" s="850">
        <f t="shared" si="0"/>
        <v>34.200000000000003</v>
      </c>
      <c r="F13" s="849">
        <f>SUBTOTAL(9,F9:F12)</f>
        <v>276</v>
      </c>
      <c r="G13" s="850">
        <f t="shared" si="1"/>
        <v>55.2</v>
      </c>
      <c r="H13" s="849">
        <f>SUBTOTAL(9,H9:H12)</f>
        <v>214</v>
      </c>
      <c r="I13" s="850">
        <f>IF(ISNUMBER(H13/B13),H13/B13," - ")</f>
        <v>42.8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126</v>
      </c>
      <c r="E16" s="404">
        <f t="shared" si="3"/>
        <v>31.5</v>
      </c>
      <c r="F16" s="403">
        <f>IF(ISNUMBER(Datos!N16),Datos!N16," - ")</f>
        <v>271</v>
      </c>
      <c r="G16" s="404">
        <f t="shared" si="4"/>
        <v>67.75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7</v>
      </c>
      <c r="E17" s="404">
        <f>IF(ISNUMBER(D17/B17),D17/B17," - ")</f>
        <v>7</v>
      </c>
      <c r="F17" s="403">
        <f>IF(ISNUMBER(Datos!N17),Datos!N17," - ")</f>
        <v>40</v>
      </c>
      <c r="G17" s="404">
        <f>IF(ISNUMBER(F17/B17),F17/B17," - ")</f>
        <v>40</v>
      </c>
      <c r="H17" s="403">
        <f>IF(ISNUMBER(Datos!O17),Datos!O17," - ")</f>
        <v>0</v>
      </c>
      <c r="I17" s="404">
        <f t="shared" si="5"/>
        <v>0</v>
      </c>
    </row>
    <row r="18" spans="1:9" ht="14.25" thickTop="1" thickBot="1">
      <c r="A18" s="848" t="str">
        <f>Datos!A18</f>
        <v>TOTAL</v>
      </c>
      <c r="B18" s="849">
        <f>Datos!AO18</f>
        <v>5</v>
      </c>
      <c r="C18" s="851">
        <f>Datos!AR18</f>
        <v>4</v>
      </c>
      <c r="D18" s="849">
        <f>SUBTOTAL(9,D15:D17)</f>
        <v>133</v>
      </c>
      <c r="E18" s="850">
        <f t="shared" si="3"/>
        <v>26.6</v>
      </c>
      <c r="F18" s="849">
        <f>SUBTOTAL(9,F15:F17)</f>
        <v>311</v>
      </c>
      <c r="G18" s="850">
        <f t="shared" si="4"/>
        <v>62.2</v>
      </c>
      <c r="H18" s="849">
        <f>SUBTOTAL(9,H15:H17)</f>
        <v>0</v>
      </c>
      <c r="I18" s="850">
        <f>IF(ISNUMBER(H18/B18),H18/B18," - ")</f>
        <v>0</v>
      </c>
    </row>
    <row r="19" spans="1:9" ht="14.25" thickTop="1" thickBot="1">
      <c r="A19" s="793" t="str">
        <f>Datos!A19</f>
        <v>TOTAL JURISDICCIONES</v>
      </c>
      <c r="B19" s="794">
        <f>Datos!AP19</f>
        <v>4</v>
      </c>
      <c r="C19" s="794">
        <f>Datos!AR19</f>
        <v>4</v>
      </c>
      <c r="D19" s="794">
        <f>SUBTOTAL(9,D8:D18)</f>
        <v>304</v>
      </c>
      <c r="E19" s="795">
        <f>IF(ISNUMBER(D19/B19),D19/B19," - ")</f>
        <v>76</v>
      </c>
      <c r="F19" s="794">
        <f>SUBTOTAL(9,F8:F18)</f>
        <v>587</v>
      </c>
      <c r="G19" s="795">
        <f>IF(ISNUMBER(F19/B19),F19/B19," - ")</f>
        <v>146.75</v>
      </c>
      <c r="H19" s="794">
        <f>SUBTOTAL(9,H8:H18)</f>
        <v>214</v>
      </c>
      <c r="I19" s="795">
        <f>IF(ISNUMBER(H19/B19),H19/B19," - ")</f>
        <v>53.5</v>
      </c>
    </row>
    <row r="22" spans="1:9">
      <c r="A22" s="391" t="str">
        <f>Criterios!A4</f>
        <v>Fecha Informe: 29 may. 2024</v>
      </c>
    </row>
    <row r="27" spans="1:9">
      <c r="A27" s="414"/>
    </row>
  </sheetData>
  <sheetProtection algorithmName="SHA-512" hashValue="YG9KspPNFyqun65RAdNSR6Ztv6IU6y9nd6uNvrL/v0ng5ddGPGzHTaw7W9SWUi0KZLHFkE3VqRfiFuDpj7laOQ==" saltValue="fZifb4SbwvtHO+h62RX5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BIZKAIA</v>
      </c>
    </row>
    <row r="4" spans="1:4" ht="13.5" thickBot="1">
      <c r="B4" s="391" t="str">
        <f>Criterios!A11 &amp;"  "&amp;Criterios!B11</f>
        <v>Resumenes por Partidos Judiciales  GERNIKA-LUMO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2</v>
      </c>
      <c r="D10" s="408">
        <f>IF(ISNUMBER(Datos!R10),Datos!R10," - ")</f>
        <v>16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133</v>
      </c>
      <c r="C12" s="434">
        <f>IF(ISNUMBER(Datos!Q12),Datos!Q12," - ")</f>
        <v>38</v>
      </c>
      <c r="D12" s="408">
        <f>IF(ISNUMBER(Datos!R12),Datos!R12," - ")</f>
        <v>1590</v>
      </c>
    </row>
    <row r="13" spans="1:4" ht="14.25" thickTop="1" thickBot="1">
      <c r="A13" s="848" t="str">
        <f>Datos!A13</f>
        <v>TOTAL</v>
      </c>
      <c r="B13" s="849">
        <f>SUBTOTAL(9,B9:B12)</f>
        <v>134</v>
      </c>
      <c r="C13" s="853">
        <f>SUBTOTAL(9,C9:C12)</f>
        <v>40</v>
      </c>
      <c r="D13" s="851">
        <f>SUBTOTAL(9,D9:D12)</f>
        <v>1606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36</v>
      </c>
      <c r="C16" s="434">
        <f>IF(ISNUMBER(Datos!Q16),Datos!Q16," - ")</f>
        <v>21</v>
      </c>
      <c r="D16" s="408">
        <f>IF(ISNUMBER(Datos!R16),Datos!R16," - ")</f>
        <v>239</v>
      </c>
    </row>
    <row r="17" spans="1:4" ht="13.5" thickBot="1">
      <c r="A17" s="402" t="str">
        <f>Datos!A17</f>
        <v>Jdos. Violencia contra la mujer</v>
      </c>
      <c r="B17" s="433">
        <f>IF(ISNUMBER(Datos!P17),Datos!P17," - ")</f>
        <v>0</v>
      </c>
      <c r="C17" s="434">
        <f>IF(ISNUMBER(Datos!Q17),Datos!Q17," - ")</f>
        <v>7</v>
      </c>
      <c r="D17" s="408">
        <f>IF(ISNUMBER(Datos!R17),Datos!R17," - ")</f>
        <v>18</v>
      </c>
    </row>
    <row r="18" spans="1:4" ht="14.25" thickTop="1" thickBot="1">
      <c r="A18" s="848" t="str">
        <f>Datos!A18</f>
        <v>TOTAL</v>
      </c>
      <c r="B18" s="849">
        <f>SUBTOTAL(9,B15:B17)</f>
        <v>36</v>
      </c>
      <c r="C18" s="853">
        <f>SUBTOTAL(9,C15:C17)</f>
        <v>28</v>
      </c>
      <c r="D18" s="851">
        <f>SUBTOTAL(9,D15:D17)</f>
        <v>257</v>
      </c>
    </row>
    <row r="19" spans="1:4" ht="16.5" customHeight="1" thickTop="1" thickBot="1">
      <c r="A19" s="793" t="str">
        <f>Datos!A19</f>
        <v>TOTAL JURISDICCIONES</v>
      </c>
      <c r="B19" s="798">
        <f>SUBTOTAL(9,B8:B18)</f>
        <v>170</v>
      </c>
      <c r="C19" s="799">
        <f>SUBTOTAL(9,C8:C18)</f>
        <v>68</v>
      </c>
      <c r="D19" s="800">
        <f>SUBTOTAL(9,D8:D18)</f>
        <v>1863</v>
      </c>
    </row>
    <row r="20" spans="1:4" ht="7.5" customHeight="1"/>
    <row r="21" spans="1:4" ht="6" customHeight="1"/>
    <row r="22" spans="1:4">
      <c r="A22" s="391" t="str">
        <f>Criterios!A4</f>
        <v>Fecha Informe: 29 may. 2024</v>
      </c>
    </row>
    <row r="27" spans="1:4">
      <c r="A27" s="414"/>
    </row>
  </sheetData>
  <sheetProtection algorithmName="SHA-512" hashValue="H0bVphqvFDqkEgQKVWyIJg7JSYPIa1GGwO0cJC+ccqAjxES/kbyS/nxxBFeif6ij8NXL1Haz4OVWaN7KkvRVDg==" saltValue="fv/lkm2OQODIdL4KriEf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BIZKAIA</v>
      </c>
    </row>
    <row r="4" spans="1:11" ht="10.5" customHeight="1" thickBot="1">
      <c r="B4" s="391" t="str">
        <f>Criterios!A11 &amp;"  "&amp;Criterios!B11</f>
        <v>Resumenes por Partidos Judiciales  GERNIKA-LUMO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0.45833333333333331</v>
      </c>
      <c r="C10" s="456">
        <f>IF(ISNUMBER((Datos!J10-Datos!T10)/Datos!T10),(Datos!J10-Datos!T10)/Datos!T10," - ")</f>
        <v>-0.93103448275862066</v>
      </c>
      <c r="D10" s="456">
        <f>IF(ISNUMBER((Datos!K10-Datos!U10)/Datos!U10),(Datos!K10-Datos!U10)/Datos!U10," - ")</f>
        <v>-0.875</v>
      </c>
      <c r="E10" s="456">
        <f>IF(ISNUMBER((Datos!L10-Datos!V10)/Datos!V10),(Datos!L10-Datos!V10)/Datos!V10," - ")</f>
        <v>0.17241379310344829</v>
      </c>
      <c r="F10" s="456">
        <f>IF(ISNUMBER((Datos!M10-Datos!W10)/Datos!W10),(Datos!M10-Datos!W10)/Datos!W10," - ")</f>
        <v>-0.75</v>
      </c>
      <c r="G10" s="457">
        <f>IF(ISNUMBER((Datos!N10-Datos!X10)/Datos!X10),(Datos!N10-Datos!X10)/Datos!X10," - ")</f>
        <v>-1</v>
      </c>
      <c r="H10" s="455">
        <f>IF(ISNUMBER(((NºAsuntos!G10/NºAsuntos!E10)-Datos!BD10)/Datos!BD10),((NºAsuntos!G10/NºAsuntos!E10)-Datos!BD10)/Datos!BD10," - ")</f>
        <v>0.8125</v>
      </c>
      <c r="I10" s="456">
        <f>IF(ISNUMBER(((NºAsuntos!I10/NºAsuntos!G10)-Datos!BE10)/Datos!BE10),((NºAsuntos!I10/NºAsuntos!G10)-Datos!BE10)/Datos!BE10," - ")</f>
        <v>8.3793103448275872</v>
      </c>
      <c r="J10" s="461">
        <f>IF(ISNUMBER((('Resol  Asuntos'!D10/NºAsuntos!G10)-Datos!BF10)/Datos!BF10),(('Resol  Asuntos'!D10/NºAsuntos!G10)-Datos!BF10)/Datos!BF10," - ")</f>
        <v>1</v>
      </c>
      <c r="K10" s="462">
        <f>IF(ISNUMBER((((NºAsuntos!C10+NºAsuntos!E10)/NºAsuntos!G10)-Datos!BG10)/Datos!BG10),(((NºAsuntos!C10+NºAsuntos!E10)/NºAsuntos!G10)-Datos!BG10)/Datos!BG10," - ")</f>
        <v>4.5849056603773581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-1.3168724279835391E-2</v>
      </c>
      <c r="C12" s="456">
        <f>IF(ISNUMBER(
   IF(J_V="SI",(Datos!J12-Datos!T12)/Datos!T12,(Datos!J12+Datos!Z12-(Datos!T12+Datos!AH12))/(Datos!T12+Datos!AH12))
     ),IF(J_V="SI",(Datos!J12-Datos!T12)/Datos!T12,(Datos!J12+Datos!Z12-(Datos!T12+Datos!AH12))/(Datos!T12+Datos!AH12))," - ")</f>
        <v>0.19289340101522842</v>
      </c>
      <c r="D12" s="456">
        <f>IF(ISNUMBER(
   IF(J_V="SI",(Datos!K12-Datos!U12)/Datos!U12,(Datos!K12+Datos!AA12-(Datos!U12+Datos!AI12))/(Datos!U12+Datos!AI12))
     ),IF(J_V="SI",(Datos!K12-Datos!U12)/Datos!U12,(Datos!K12+Datos!AA12-(Datos!U12+Datos!AI12))/(Datos!U12+Datos!AI12))," - ")</f>
        <v>0.18210361067503925</v>
      </c>
      <c r="E12" s="456">
        <f>IF(ISNUMBER(
   IF(J_V="SI",(Datos!L12-Datos!V12)/Datos!V12,(Datos!L12+Datos!AB12-(Datos!V12+Datos!AJ12))/(Datos!V12+Datos!AJ12))
     ),IF(J_V="SI",(Datos!L12-Datos!V12)/Datos!V12,(Datos!L12+Datos!AB12-(Datos!V12+Datos!AJ12))/(Datos!V12+Datos!AJ12))," - ")</f>
        <v>-1.5397775876817793E-2</v>
      </c>
      <c r="F12" s="456">
        <f>IF(ISNUMBER((Datos!M12-Datos!W12)/Datos!W12),(Datos!M12-Datos!W12)/Datos!W12," - ")</f>
        <v>0.21582733812949639</v>
      </c>
      <c r="G12" s="457">
        <f>IF(ISNUMBER((Datos!N12-Datos!X12)/Datos!X12),(Datos!N12-Datos!X12)/Datos!X12," - ")</f>
        <v>0.12653061224489795</v>
      </c>
      <c r="H12" s="455">
        <f>IF(ISNUMBER(((NºAsuntos!G12/NºAsuntos!E12)-Datos!BD12)/Datos!BD12),((NºAsuntos!G12/NºAsuntos!E12)-Datos!BD12)/Datos!BD12," - ")</f>
        <v>-9.0450582851798536E-3</v>
      </c>
      <c r="I12" s="456">
        <f>IF(ISNUMBER(((NºAsuntos!I12/NºAsuntos!G12)-Datos!BE12)/Datos!BE12),((NºAsuntos!I12/NºAsuntos!G12)-Datos!BE12)/Datos!BE12," - ")</f>
        <v>-0.16707620615343016</v>
      </c>
      <c r="J12" s="461">
        <f>IF(ISNUMBER((('Resol  Asuntos'!D12/NºAsuntos!G12)-Datos!BF12)/Datos!BF12),(('Resol  Asuntos'!D12/NºAsuntos!G12)-Datos!BF12)/Datos!BF12," - ")</f>
        <v>-0.41646746347941571</v>
      </c>
      <c r="K12" s="462">
        <f>IF(ISNUMBER((((NºAsuntos!C12+NºAsuntos!E12)/NºAsuntos!G12)-Datos!BG12)/Datos!BG12),(((NºAsuntos!C12+NºAsuntos!E12)/NºAsuntos!G12)-Datos!BG12)/Datos!BG12," - ")</f>
        <v>-0.10814622646365447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-4.0355125100887809E-3</v>
      </c>
      <c r="C13" s="855">
        <f>IF(ISNUMBER(
   IF(J_V="SI",(Datos!J13-Datos!T13)/Datos!T13,(Datos!J13+Datos!Z13-(Datos!T13+Datos!AH13))/(Datos!T13+Datos!AH13))
     ),IF(J_V="SI",(Datos!J13-Datos!T13)/Datos!T13,(Datos!J13+Datos!Z13-(Datos!T13+Datos!AH13))/(Datos!T13+Datos!AH13))," - ")</f>
        <v>0.14032258064516129</v>
      </c>
      <c r="D13" s="855">
        <f>IF(ISNUMBER(
   IF(J_V="SI",(Datos!K13-Datos!U13)/Datos!U13,(Datos!K13+Datos!AA13-(Datos!U13+Datos!AI13))/(Datos!U13+Datos!AI13))
     ),IF(J_V="SI",(Datos!K13-Datos!U13)/Datos!U13,(Datos!K13+Datos!AA13-(Datos!U13+Datos!AI13))/(Datos!U13+Datos!AI13))," - ")</f>
        <v>0.1437216338880484</v>
      </c>
      <c r="E13" s="855">
        <f>IF(ISNUMBER(
   IF(J_V="SI",(Datos!L13-Datos!V13)/Datos!V13,(Datos!L13+Datos!AB13-(Datos!V13+Datos!AJ13))/(Datos!V13+Datos!AJ13))
     ),IF(J_V="SI",(Datos!L13-Datos!V13)/Datos!V13,(Datos!L13+Datos!AB13-(Datos!V13+Datos!AJ13))/(Datos!V13+Datos!AJ13))," - ")</f>
        <v>-1.0851419031719533E-2</v>
      </c>
      <c r="F13" s="856">
        <f>IF(ISNUMBER((Datos!M13-Datos!W13)/Datos!W13),(Datos!M13-Datos!W13)/Datos!W13," - ")</f>
        <v>0.16326530612244897</v>
      </c>
      <c r="G13" s="857">
        <f>IF(ISNUMBER((Datos!N13-Datos!X13)/Datos!X13),(Datos!N13-Datos!X13)/Datos!X13," - ")</f>
        <v>7.3929961089494164E-2</v>
      </c>
      <c r="H13" s="857">
        <f>IF(ISNUMBER(((NºAsuntos!G13/NºAsuntos!E13)-Datos!BD13)/Datos!BD13),((NºAsuntos!G13/NºAsuntos!E13)-Datos!BD13)/Datos!BD13," - ")</f>
        <v>2.9807821931966561E-3</v>
      </c>
      <c r="I13" s="857">
        <f>IF(ISNUMBER(((NºAsuntos!I13/NºAsuntos!G13)-Datos!BE13)/Datos!BE13),((NºAsuntos!I13/NºAsuntos!G13)-Datos!BE13)/Datos!BE13," - ")</f>
        <v>-0.13514919044969126</v>
      </c>
      <c r="J13" s="857">
        <f>IF(ISNUMBER((('Resol  Asuntos'!D13/NºAsuntos!G13)-Datos!BF13)/Datos!BF13),(('Resol  Asuntos'!D13/NºAsuntos!G13)-Datos!BF13)/Datos!BF13," - ")</f>
        <v>-0.40904385469602866</v>
      </c>
      <c r="K13" s="857">
        <f>IF(ISNUMBER((((NºAsuntos!C13+NºAsuntos!E13)/NºAsuntos!G13)-Datos!BG13)/Datos!BG13),(((NºAsuntos!C13+NºAsuntos!E13)/NºAsuntos!G13)-Datos!BG13)/Datos!BG13," - ")</f>
        <v>-8.7094529402221621E-2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0.2889963724304716</v>
      </c>
      <c r="C16" s="456">
        <f>IF(ISNUMBER(
   IF(D_I="SI",(Datos!J16-Datos!T16)/Datos!T16,(Datos!J16+Datos!AD16-(Datos!T16+Datos!AL16))/(Datos!T16+Datos!AL16))
     ),IF(D_I="SI",(Datos!J16-Datos!T16)/Datos!T16,(Datos!J16+Datos!AD16-(Datos!T16+Datos!AL16))/(Datos!T16+Datos!AL16))," - ")</f>
        <v>0.16803278688524589</v>
      </c>
      <c r="D16" s="456">
        <f>IF(ISNUMBER(
   IF(D_I="SI",(Datos!K16-Datos!U16)/Datos!U16,(Datos!K16+Datos!AE16-(Datos!U16+Datos!AM16))/(Datos!U16+Datos!AM16))
     ),IF(D_I="SI",(Datos!K16-Datos!U16)/Datos!U16,(Datos!K16+Datos!AE16-(Datos!U16+Datos!AM16))/(Datos!U16+Datos!AM16))," - ")</f>
        <v>0.19027484143763213</v>
      </c>
      <c r="E16" s="456">
        <f>IF(ISNUMBER(
   IF(D_I="SI",(Datos!L16-Datos!V16)/Datos!V16,(Datos!L16+Datos!AF16-(Datos!V16+Datos!AN16))/(Datos!V16+Datos!AN16))
     ),IF(D_I="SI",(Datos!L16-Datos!V16)/Datos!V16,(Datos!L16+Datos!AF16-(Datos!V16+Datos!AN16))/(Datos!V16+Datos!AN16))," - ")</f>
        <v>0.30486358244365364</v>
      </c>
      <c r="F16" s="456">
        <f>IF(ISNUMBER((Datos!M16-Datos!W16)/Datos!W16),(Datos!M16-Datos!W16)/Datos!W16," - ")</f>
        <v>0.4823529411764706</v>
      </c>
      <c r="G16" s="457">
        <f>IF(ISNUMBER((Datos!N16-Datos!X16)/Datos!X16),(Datos!N16-Datos!X16)/Datos!X16," - ")</f>
        <v>0.19911504424778761</v>
      </c>
      <c r="H16" s="455">
        <f>IF(ISNUMBER(((NºAsuntos!G16/NºAsuntos!E16)-Datos!BD16)/Datos!BD16),((NºAsuntos!G16/NºAsuntos!E16)-Datos!BD16)/Datos!BD16," - ")</f>
        <v>1.9042320388709528E-2</v>
      </c>
      <c r="I16" s="456">
        <f>IF(ISNUMBER(((NºAsuntos!I16/NºAsuntos!G16)-Datos!BE16)/Datos!BE16),((NºAsuntos!I16/NºAsuntos!G16)-Datos!BE16)/Datos!BE16," - ")</f>
        <v>9.6270825037030522E-2</v>
      </c>
      <c r="J16" s="461">
        <f>IF(ISNUMBER((('Resol  Asuntos'!D16/NºAsuntos!G16)-Datos!BF16)/Datos!BF16),(('Resol  Asuntos'!D16/NºAsuntos!G16)-Datos!BF16)/Datos!BF16," - ")</f>
        <v>0.24538710688538284</v>
      </c>
      <c r="K16" s="462">
        <f>IF(ISNUMBER((((NºAsuntos!C16+NºAsuntos!E16)/NºAsuntos!G16)-Datos!BG16)/Datos!BG16),(((NºAsuntos!C16+NºAsuntos!E16)/NºAsuntos!G16)-Datos!BG16)/Datos!BG16," - ")</f>
        <v>4.5226212103816436E-2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v>
      </c>
      <c r="C17" s="456">
        <f>IF(ISNUMBER(
   IF(D_I="SI",(Datos!J17-Datos!T17)/Datos!T17,(Datos!J17+Datos!AD17-(Datos!T17+Datos!AL17))/(Datos!T17+Datos!AL17))
     ),IF(D_I="SI",(Datos!J17-Datos!T17)/Datos!T17,(Datos!J17+Datos!AD17-(Datos!T17+Datos!AL17))/(Datos!T17+Datos!AL17))," - ")</f>
        <v>-5.8823529411764705E-2</v>
      </c>
      <c r="D17" s="456">
        <f>IF(ISNUMBER(
   IF(D_I="SI",(Datos!K17-Datos!U17)/Datos!U17,(Datos!K17+Datos!AE17-(Datos!U17+Datos!AM17))/(Datos!U17+Datos!AM17))
     ),IF(D_I="SI",(Datos!K17-Datos!U17)/Datos!U17,(Datos!K17+Datos!AE17-(Datos!U17+Datos!AM17))/(Datos!U17+Datos!AM17))," - ")</f>
        <v>0.3888888888888889</v>
      </c>
      <c r="E17" s="456">
        <f>IF(ISNUMBER(
   IF(D_I="SI",(Datos!L17-Datos!V17)/Datos!V17,(Datos!L17+Datos!AF17-(Datos!V17+Datos!AN17))/(Datos!V17+Datos!AN17))
     ),IF(D_I="SI",(Datos!L17-Datos!V17)/Datos!V17,(Datos!L17+Datos!AF17-(Datos!V17+Datos!AN17))/(Datos!V17+Datos!AN17))," - ")</f>
        <v>4.8543689320388349E-2</v>
      </c>
      <c r="F17" s="456">
        <f>IF(ISNUMBER((Datos!M17-Datos!W17)/Datos!W17),(Datos!M17-Datos!W17)/Datos!W17," - ")</f>
        <v>-0.36363636363636365</v>
      </c>
      <c r="G17" s="457">
        <f>IF(ISNUMBER((Datos!N17-Datos!X17)/Datos!X17),(Datos!N17-Datos!X17)/Datos!X17," - ")</f>
        <v>1.6666666666666667</v>
      </c>
      <c r="H17" s="455">
        <f>IF(ISNUMBER(((NºAsuntos!G17/NºAsuntos!E17)-Datos!BD17)/Datos!BD17),((NºAsuntos!G17/NºAsuntos!E17)-Datos!BD17)/Datos!BD17," - ")</f>
        <v>0.47569444444444448</v>
      </c>
      <c r="I17" s="456">
        <f>IF(ISNUMBER(((NºAsuntos!I17/NºAsuntos!G17)-Datos!BE17)/Datos!BE17),((NºAsuntos!I17/NºAsuntos!G17)-Datos!BE17)/Datos!BE17," - ")</f>
        <v>-0.24504854368932036</v>
      </c>
      <c r="J17" s="461">
        <f>IF(ISNUMBER((('Resol  Asuntos'!D17/NºAsuntos!G17)-Datos!BF17)/Datos!BF17),(('Resol  Asuntos'!D17/NºAsuntos!G17)-Datos!BF17)/Datos!BF17," - ")</f>
        <v>-0.54181818181818187</v>
      </c>
      <c r="K17" s="462">
        <f>IF(ISNUMBER((((NºAsuntos!C17+NºAsuntos!E17)/NºAsuntos!G17)-Datos!BG17)/Datos!BG17),(((NºAsuntos!C17+NºAsuntos!E17)/NºAsuntos!G17)-Datos!BG17)/Datos!BG17," - ")</f>
        <v>-0.18158273381294962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0.28524590163934427</v>
      </c>
      <c r="C18" s="855">
        <f>IF(ISNUMBER(
   IF(Criterios!B14="SI",(Datos!J18-Datos!T18)/Datos!T18,(Datos!J18+Datos!AD18-(Datos!T18+Datos!AL18))/(Datos!T18+Datos!AL18))
     ),IF(Criterios!B14="SI",(Datos!J18-Datos!T18)/Datos!T18,(Datos!J18+Datos!AD18-(Datos!T18+Datos!AL18))/(Datos!T18+Datos!AL18))," - ")</f>
        <v>0.14656771799628943</v>
      </c>
      <c r="D18" s="855">
        <f>IF(ISNUMBER(
   IF(Criterios!B14="SI",(Datos!K18-Datos!U18)/Datos!U18,(Datos!K18+Datos!AE18-(Datos!U18+Datos!AM18))/(Datos!U18+Datos!AM18))
     ),IF(Criterios!B14="SI",(Datos!K18-Datos!U18)/Datos!U18,(Datos!K18+Datos!AE18-(Datos!U18+Datos!AM18))/(Datos!U18+Datos!AM18))," - ")</f>
        <v>0.20432220039292731</v>
      </c>
      <c r="E18" s="855">
        <f>IF(ISNUMBER(
   IF(Criterios!B14="SI",(Datos!L18-Datos!V18)/Datos!V18,(Datos!L18+Datos!AF18-(Datos!V18+Datos!AN18))/(Datos!V18+Datos!AN18))
     ),IF(Criterios!B14="SI",(Datos!L18-Datos!V18)/Datos!V18,(Datos!L18+Datos!AF18-(Datos!V18+Datos!AN18))/(Datos!V18+Datos!AN18))," - ")</f>
        <v>0.27695560253699791</v>
      </c>
      <c r="F18" s="856">
        <f>IF(ISNUMBER((Datos!M18-Datos!W18)/Datos!W18),(Datos!M18-Datos!W18)/Datos!W18," - ")</f>
        <v>0.38541666666666669</v>
      </c>
      <c r="G18" s="857">
        <f>IF(ISNUMBER((Datos!N18-Datos!X18)/Datos!X18),(Datos!N18-Datos!X18)/Datos!X18," - ")</f>
        <v>0.29045643153526973</v>
      </c>
      <c r="H18" s="857">
        <f>IF(ISNUMBER(((NºAsuntos!G18/NºAsuntos!E18)-Datos!BD18)/Datos!BD18),((NºAsuntos!G18/NºAsuntos!E18)-Datos!BD18)/Datos!BD18," - ")</f>
        <v>5.0371627850789365E-2</v>
      </c>
      <c r="I18" s="857">
        <f>IF(ISNUMBER(((NºAsuntos!I18/NºAsuntos!G18)-Datos!BE18)/Datos!BE18),((NºAsuntos!I18/NºAsuntos!G18)-Datos!BE18)/Datos!BE18," - ")</f>
        <v>6.0310606348012906E-2</v>
      </c>
      <c r="J18" s="857">
        <f>IF(ISNUMBER((('Resol  Asuntos'!D18/NºAsuntos!G18)-Datos!BF18)/Datos!BF18),(('Resol  Asuntos'!D18/NºAsuntos!G18)-Datos!BF18)/Datos!BF18," - ")</f>
        <v>0.15037044589450796</v>
      </c>
      <c r="K18" s="857">
        <f>IF(ISNUMBER((((NºAsuntos!C18+NºAsuntos!E18)/NºAsuntos!G18)-Datos!BG18)/Datos!BG18),(((NºAsuntos!C18+NºAsuntos!E18)/NºAsuntos!G18)-Datos!BG18)/Datos!BG18," - ")</f>
        <v>2.4507966996595923E-2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0.11884865366759517</v>
      </c>
      <c r="C19" s="802">
        <f>IF(ISNUMBER(
   IF(J_V="SI",(Datos!J19-Datos!T19)/Datos!T19,(Datos!J19+Datos!Z19-(Datos!T19+Datos!AH19))/(Datos!T19+Datos!AH19))
     ),IF(J_V="SI",(Datos!J19-Datos!T19)/Datos!T19,(Datos!J19+Datos!Z19-(Datos!T19+Datos!AH19))/(Datos!T19+Datos!AH19))," - ")</f>
        <v>0.14322691975841242</v>
      </c>
      <c r="D19" s="802">
        <f>IF(ISNUMBER(
   IF(J_V="SI",(Datos!K19-Datos!U19)/Datos!U19,(Datos!K19+Datos!AA19-(Datos!U19+Datos!AI19))/(Datos!U19+Datos!AI19))
     ),IF(J_V="SI",(Datos!K19-Datos!U19)/Datos!U19,(Datos!K19+Datos!AA19-(Datos!U19+Datos!AI19))/(Datos!U19+Datos!AI19))," - ")</f>
        <v>0.17008547008547009</v>
      </c>
      <c r="E19" s="802">
        <f>IF(ISNUMBER(
   IF(J_V="SI",(Datos!L19-Datos!V19)/Datos!V19,(Datos!L19+Datos!AB19-(Datos!V19+Datos!AJ19))/(Datos!V19+Datos!AJ19))
     ),IF(J_V="SI",(Datos!L19-Datos!V19)/Datos!V19,(Datos!L19+Datos!AB19-(Datos!V19+Datos!AJ19))/(Datos!V19+Datos!AJ19))," - ")</f>
        <v>0.11613805970149253</v>
      </c>
      <c r="F19" s="803">
        <f>IF(ISNUMBER((Datos!M19-Datos!W19)/Datos!W19),(Datos!M19-Datos!W19)/Datos!W19," - ")</f>
        <v>0.25102880658436216</v>
      </c>
      <c r="G19" s="804">
        <f>IF(ISNUMBER((Datos!N19-Datos!X19)/Datos!X19),(Datos!N19-Datos!X19)/Datos!X19," - ")</f>
        <v>0.17871485943775101</v>
      </c>
      <c r="H19" s="805">
        <f>IF(ISNUMBER((Tasas!B19-Datos!BD19)/Datos!BD19),(Tasas!B19-Datos!BD19)/Datos!BD19," - ")</f>
        <v>2.3493630059667679E-2</v>
      </c>
      <c r="I19" s="806">
        <f>IF(ISNUMBER((Tasas!C19-Datos!BE19)/Datos!BE19),(Tasas!C19-Datos!BE19)/Datos!BE19," - ")</f>
        <v>-4.6105529692661615E-2</v>
      </c>
      <c r="J19" s="807">
        <f>IF(ISNUMBER((Tasas!D19-Datos!BF19)/Datos!BF19),(Tasas!D19-Datos!BF19)/Datos!BF19," - ")</f>
        <v>-0.2555585090240089</v>
      </c>
      <c r="K19" s="807">
        <f>IF(ISNUMBER((Tasas!E19-Datos!BG19)/Datos!BG19),(Tasas!E19-Datos!BG19)/Datos!BG19," - ")</f>
        <v>-3.6500299746642983E-2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sZVLC3WNsFWAmlhOxG2cpqlxMi43iYksm6Elnf2KkinaM7YaTk9ywtIUDaKYnnEQI+6z2KsguuXig9I61KXWg==" saltValue="+aXsDHaQ/ArQicYv0vGi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BIZKAIA</v>
      </c>
    </row>
    <row r="4" spans="1:7" ht="11.25" customHeight="1" thickBot="1">
      <c r="B4" s="391" t="str">
        <f>Criterios!A11 &amp;"  "&amp;Criterios!B11</f>
        <v>Resumenes por Partidos Judiciales  GERNIKA-LUMO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1.5</v>
      </c>
      <c r="C10" s="443">
        <f>IF(ISNUMBER(NºAsuntos!I10/NºAsuntos!G10),NºAsuntos!I10/NºAsuntos!G10," - ")</f>
        <v>11.333333333333334</v>
      </c>
      <c r="D10" s="444">
        <f>IF(ISNUMBER('Resol  Asuntos'!D10/NºAsuntos!G10),'Resol  Asuntos'!D10/NºAsuntos!G10," - ")</f>
        <v>0.66666666666666663</v>
      </c>
      <c r="E10" s="445">
        <f>IF(ISNUMBER((NºAsuntos!C10+NºAsuntos!E10)/NºAsuntos!G10),(NºAsuntos!C10+NºAsuntos!E10)/NºAsuntos!G10," - ")</f>
        <v>12.333333333333334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1.0680851063829788</v>
      </c>
      <c r="C12" s="443">
        <f>IF(ISNUMBER(NºAsuntos!I12/NºAsuntos!G12),NºAsuntos!I12/NºAsuntos!G12," - ")</f>
        <v>1.5285524568393094</v>
      </c>
      <c r="D12" s="444">
        <f>IF(ISNUMBER('Resol  Asuntos'!D12/NºAsuntos!G12),'Resol  Asuntos'!D12/NºAsuntos!G12," - ")</f>
        <v>0.22443559096945551</v>
      </c>
      <c r="E12" s="445">
        <f>IF(ISNUMBER((NºAsuntos!C12+NºAsuntos!E12)/NºAsuntos!G12),(NºAsuntos!C12+NºAsuntos!E12)/NºAsuntos!G12," - ")</f>
        <v>2.5285524568393094</v>
      </c>
      <c r="G12" s="463"/>
    </row>
    <row r="13" spans="1:7" ht="14.25" thickTop="1" thickBot="1">
      <c r="A13" s="848" t="str">
        <f>Datos!A13</f>
        <v>TOTAL</v>
      </c>
      <c r="B13" s="858">
        <f>IF(ISNUMBER(NºAsuntos!G13/NºAsuntos!E13),NºAsuntos!G13/NºAsuntos!E13," - ")</f>
        <v>1.0693069306930694</v>
      </c>
      <c r="C13" s="859">
        <f>IF(ISNUMBER(NºAsuntos!I13/NºAsuntos!G13),NºAsuntos!I13/NºAsuntos!G13," - ")</f>
        <v>1.5674603174603174</v>
      </c>
      <c r="D13" s="860">
        <f>IF(ISNUMBER('Resol  Asuntos'!D13/NºAsuntos!G13),'Resol  Asuntos'!D13/NºAsuntos!G13," - ")</f>
        <v>0.22619047619047619</v>
      </c>
      <c r="E13" s="861">
        <f>IF(ISNUMBER((NºAsuntos!C13+NºAsuntos!E13)/NºAsuntos!G13),(NºAsuntos!C13+NºAsuntos!E13)/NºAsuntos!G13," - ")</f>
        <v>2.5674603174603177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0.987719298245614</v>
      </c>
      <c r="C16" s="443">
        <f>IF(ISNUMBER(NºAsuntos!I16/NºAsuntos!G16),NºAsuntos!I16/NºAsuntos!G16," - ")</f>
        <v>1.9538188277087034</v>
      </c>
      <c r="D16" s="444">
        <f>IF(ISNUMBER('Resol  Asuntos'!D16/NºAsuntos!G16),'Resol  Asuntos'!D16/NºAsuntos!G16," - ")</f>
        <v>0.22380106571936056</v>
      </c>
      <c r="E16" s="445">
        <f>IF(ISNUMBER((NºAsuntos!C16+NºAsuntos!E16)/NºAsuntos!G16),(NºAsuntos!C16+NºAsuntos!E16)/NºAsuntos!G16," - ")</f>
        <v>2.9058614564831262</v>
      </c>
      <c r="G16" s="463"/>
    </row>
    <row r="17" spans="1:7" ht="13.5" thickBot="1">
      <c r="A17" s="402" t="str">
        <f>Datos!A17</f>
        <v>Jdos. Violencia contra la mujer</v>
      </c>
      <c r="B17" s="442">
        <f>IF(ISNUMBER(NºAsuntos!G17/NºAsuntos!E17),NºAsuntos!G17/NºAsuntos!E17," - ")</f>
        <v>1.0416666666666667</v>
      </c>
      <c r="C17" s="443">
        <f>IF(ISNUMBER(NºAsuntos!I17/NºAsuntos!G17),NºAsuntos!I17/NºAsuntos!G17," - ")</f>
        <v>2.16</v>
      </c>
      <c r="D17" s="444">
        <f>IF(ISNUMBER('Resol  Asuntos'!D17/NºAsuntos!G17),'Resol  Asuntos'!D17/NºAsuntos!G17," - ")</f>
        <v>0.14000000000000001</v>
      </c>
      <c r="E17" s="445">
        <f>IF(ISNUMBER((NºAsuntos!C17+NºAsuntos!E17)/NºAsuntos!G17),(NºAsuntos!C17+NºAsuntos!E17)/NºAsuntos!G17," - ")</f>
        <v>3.16</v>
      </c>
      <c r="G17" s="463"/>
    </row>
    <row r="18" spans="1:7" ht="14.25" thickTop="1" thickBot="1">
      <c r="A18" s="848" t="str">
        <f>Datos!A18</f>
        <v>TOTAL</v>
      </c>
      <c r="B18" s="858">
        <f>IF(ISNUMBER(NºAsuntos!G18/NºAsuntos!E18),NºAsuntos!G18/NºAsuntos!E18," - ")</f>
        <v>0.99190938511326865</v>
      </c>
      <c r="C18" s="859">
        <f>IF(ISNUMBER(NºAsuntos!I18/NºAsuntos!G18),NºAsuntos!I18/NºAsuntos!G18," - ")</f>
        <v>1.9706362153344208</v>
      </c>
      <c r="D18" s="862">
        <f>IF(ISNUMBER('Resol  Asuntos'!D18/NºAsuntos!G18),'Resol  Asuntos'!D18/NºAsuntos!G18," - ")</f>
        <v>0.2169657422512235</v>
      </c>
      <c r="E18" s="861">
        <f>IF(ISNUMBER((NºAsuntos!C18+NºAsuntos!E18)/NºAsuntos!G18),(NºAsuntos!C18+NºAsuntos!E18)/NºAsuntos!G18," - ")</f>
        <v>2.9265905383360522</v>
      </c>
      <c r="G18" s="463"/>
    </row>
    <row r="19" spans="1:7" ht="15.75" customHeight="1" thickTop="1" thickBot="1">
      <c r="A19" s="793" t="str">
        <f>Datos!A19</f>
        <v>TOTAL JURISDICCIONES</v>
      </c>
      <c r="B19" s="808">
        <f>IF(ISNUMBER(NºAsuntos!G19/NºAsuntos!E19),NºAsuntos!G19/NºAsuntos!E19," - ")</f>
        <v>1.0332075471698112</v>
      </c>
      <c r="C19" s="809">
        <f>IF(ISNUMBER(NºAsuntos!I19/NºAsuntos!G19),NºAsuntos!I19/NºAsuntos!G19," - ")</f>
        <v>1.7479912344777209</v>
      </c>
      <c r="D19" s="810">
        <f>IF(ISNUMBER('Resol  Asuntos'!D19/NºAsuntos!G19),'Resol  Asuntos'!D19/NºAsuntos!G19," - ")</f>
        <v>0.22205989773557341</v>
      </c>
      <c r="E19" s="811">
        <f>IF(ISNUMBER((NºAsuntos!C19+NºAsuntos!E19)/NºAsuntos!G19),(NºAsuntos!C19+NºAsuntos!E19)/NºAsuntos!G19," - ")</f>
        <v>2.7282688093498906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0jpilMB5TOlDPh4BpEPEtlF36nJO/uM4E269ec0t+mpKsax/2u6JWd439a+JVfWSVucjP5kopDc46tUZ3sdFrA==" saltValue="b15W2rHtcig2uhO43Brf0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BIZKAIA</v>
      </c>
      <c r="N2" s="262" t="str">
        <f>Criterios!A11 &amp;"  "&amp;Criterios!B11</f>
        <v>Resumenes por Partidos Judiciales  GERNIKA-LUMO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35</v>
      </c>
      <c r="G10" s="333">
        <f>IF(ISNUMBER(Datos!I10),Datos!I10," - ")</f>
        <v>35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2</v>
      </c>
      <c r="Y10" s="334">
        <f t="shared" ref="Y10:Y12" si="0">SUM(W10:X10)</f>
        <v>5</v>
      </c>
      <c r="Z10" s="335" t="str">
        <f>IF(ISNUMBER(Datos!CC10),Datos!CC10," - ")</f>
        <v xml:space="preserve"> - </v>
      </c>
      <c r="AA10" s="332">
        <f>IF(ISNUMBER(Datos!L10),Datos!L10,"-")</f>
        <v>34</v>
      </c>
      <c r="AB10" s="334">
        <f>IF(ISNUMBER(Datos!R10),Datos!R10," - ")</f>
        <v>16</v>
      </c>
      <c r="AC10" s="334">
        <f t="shared" ref="AC10:AC12" si="1">IF(ISNUMBER(AA10+AB10),AA10+AB10," - ")</f>
        <v>50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1.5</v>
      </c>
      <c r="AM10" s="260">
        <f>IF(ISNUMBER(((NºAsuntos!I10/NºAsuntos!G10)*11)/factor_trimestre),((NºAsuntos!I10/NºAsuntos!G10)*11)/factor_trimestre," - ")</f>
        <v>34</v>
      </c>
      <c r="AN10" s="244">
        <f>IF(ISNUMBER('Resol  Asuntos'!D10/NºAsuntos!G10),'Resol  Asuntos'!D10/NºAsuntos!G10," - ")</f>
        <v>0.66666666666666663</v>
      </c>
      <c r="AO10" s="245">
        <f>IF(ISNUMBER((NºAsuntos!C10+NºAsuntos!E10)/NºAsuntos!G10),(NºAsuntos!C10+NºAsuntos!E10)/NºAsuntos!G10," - ")</f>
        <v>12.333333333333334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38</v>
      </c>
      <c r="Y12" s="334">
        <f t="shared" si="0"/>
        <v>38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1590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169</v>
      </c>
      <c r="AJ12" s="229" t="str">
        <f>IF(ISNUMBER(Datos!BW12),Datos!BW12," - ")</f>
        <v xml:space="preserve"> - </v>
      </c>
      <c r="AK12" s="228" t="str">
        <f>IF(ISNUMBER(Datos!BX12),Datos!BX12," - ")</f>
        <v xml:space="preserve"> - </v>
      </c>
      <c r="AL12" s="243">
        <f>IF(ISNUMBER(NºAsuntos!G12/NºAsuntos!E12),NºAsuntos!G12/NºAsuntos!E12," - ")</f>
        <v>1.0680851063829788</v>
      </c>
      <c r="AM12" s="260">
        <f>IF(ISNUMBER(((NºAsuntos!I12/NºAsuntos!G12)*11)/factor_trimestre),((NºAsuntos!I12/NºAsuntos!G12)*11)/factor_trimestre," - ")</f>
        <v>4.5856573705179287</v>
      </c>
      <c r="AN12" s="244">
        <f>IF(ISNUMBER('Resol  Asuntos'!D12/NºAsuntos!G12),'Resol  Asuntos'!D12/NºAsuntos!G12," - ")</f>
        <v>0.22443559096945551</v>
      </c>
      <c r="AO12" s="245">
        <f>IF(ISNUMBER((NºAsuntos!C12+NºAsuntos!E12)/NºAsuntos!G12),(NºAsuntos!C12+NºAsuntos!E12)/NºAsuntos!G12," - ")</f>
        <v>2.5285524568393094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35</v>
      </c>
      <c r="G13" s="866">
        <f t="shared" si="3"/>
        <v>35</v>
      </c>
      <c r="H13" s="865">
        <f t="shared" si="3"/>
        <v>0</v>
      </c>
      <c r="I13" s="867">
        <f t="shared" si="3"/>
        <v>0</v>
      </c>
      <c r="J13" s="867">
        <f t="shared" si="3"/>
        <v>0</v>
      </c>
      <c r="K13" s="867">
        <f t="shared" si="3"/>
        <v>0</v>
      </c>
      <c r="L13" s="867">
        <f t="shared" si="3"/>
        <v>134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40</v>
      </c>
      <c r="Y13" s="868">
        <f t="shared" si="4"/>
        <v>43</v>
      </c>
      <c r="Z13" s="868">
        <f t="shared" si="4"/>
        <v>0</v>
      </c>
      <c r="AA13" s="868">
        <f t="shared" si="4"/>
        <v>34</v>
      </c>
      <c r="AB13" s="868">
        <f t="shared" si="4"/>
        <v>1606</v>
      </c>
      <c r="AC13" s="868">
        <f t="shared" si="4"/>
        <v>50</v>
      </c>
      <c r="AD13" s="868">
        <f t="shared" si="4"/>
        <v>0</v>
      </c>
      <c r="AE13" s="872">
        <f t="shared" si="4"/>
        <v>0</v>
      </c>
      <c r="AF13" s="865">
        <f t="shared" si="4"/>
        <v>0</v>
      </c>
      <c r="AG13" s="873">
        <f t="shared" si="4"/>
        <v>0</v>
      </c>
      <c r="AH13" s="870">
        <f t="shared" si="4"/>
        <v>0</v>
      </c>
      <c r="AI13" s="865">
        <f t="shared" si="4"/>
        <v>171</v>
      </c>
      <c r="AJ13" s="867">
        <f t="shared" si="4"/>
        <v>0</v>
      </c>
      <c r="AK13" s="870">
        <f>SUBTOTAL(9,AK9:AK12)</f>
        <v>0</v>
      </c>
      <c r="AL13" s="874">
        <f>IF(ISNUMBER(NºAsuntos!G13/NºAsuntos!E13),NºAsuntos!G13/NºAsuntos!E13," - ")</f>
        <v>1.0693069306930694</v>
      </c>
      <c r="AM13" s="874">
        <f>IF(ISNUMBER(((NºAsuntos!I13/NºAsuntos!G13)*11)/factor_trimestre),((NºAsuntos!I13/NºAsuntos!G13)*11)/factor_trimestre," - ")</f>
        <v>4.7023809523809517</v>
      </c>
      <c r="AN13" s="875">
        <f>IF(ISNUMBER('Resol  Asuntos'!D13/NºAsuntos!G13),'Resol  Asuntos'!D13/NºAsuntos!G13," - ")</f>
        <v>0.22619047619047619</v>
      </c>
      <c r="AO13" s="876">
        <f>IF(ISNUMBER((NºAsuntos!C13+NºAsuntos!E13)/NºAsuntos!G13),(NºAsuntos!C13+NºAsuntos!E13)/NºAsuntos!G13," - ")</f>
        <v>2.5674603174603177</v>
      </c>
      <c r="AP13" s="877" t="str">
        <f t="shared" si="2"/>
        <v xml:space="preserve"> - </v>
      </c>
      <c r="AQ13" s="877">
        <f>IF(ISNUMBER((H13-W13+K13)/(F13)),(H13-W13+K13)/(F13)," - ")</f>
        <v>-8.5714285714285715E-2</v>
      </c>
      <c r="AR13" s="878">
        <f>IF(ISNUMBER((Datos!P13-Datos!Q13)/(Datos!R13-Datos!P13+Datos!Q13)),(Datos!P13-Datos!Q13)/(Datos!R13-Datos!P13+Datos!Q13)," - ")</f>
        <v>6.2169312169312166E-2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1093</v>
      </c>
      <c r="G16" s="333">
        <f>IF(ISNUMBER(IF(D_I="SI",Datos!I16,Datos!I16+Datos!AC16)),IF(D_I="SI",Datos!I16,Datos!I16+Datos!AC16)," - ")</f>
        <v>1066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563</v>
      </c>
      <c r="X16" s="226">
        <f>IF(ISNUMBER(Datos!Q16),Datos!Q16," - ")</f>
        <v>21</v>
      </c>
      <c r="Y16" s="334">
        <f t="shared" ref="Y16:Y17" si="7">SUM(W16:X16)</f>
        <v>584</v>
      </c>
      <c r="Z16" s="335" t="str">
        <f>IF(ISNUMBER(Datos!CC16),Datos!CC16," - ")</f>
        <v xml:space="preserve"> - </v>
      </c>
      <c r="AA16" s="332">
        <f>IF(ISNUMBER(IF(D_I="SI",Datos!L16,Datos!L16+Datos!AF16)),IF(D_I="SI",Datos!L16,Datos!L16+Datos!AF16)," - ")</f>
        <v>1100</v>
      </c>
      <c r="AB16" s="334">
        <f>IF(ISNUMBER(Datos!R16),Datos!R16," - ")</f>
        <v>239</v>
      </c>
      <c r="AC16" s="334">
        <f t="shared" si="6"/>
        <v>1339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126</v>
      </c>
      <c r="AJ16" s="231" t="str">
        <f>IF(ISNUMBER(Datos!BW16),Datos!BW16," - ")</f>
        <v xml:space="preserve"> - </v>
      </c>
      <c r="AK16" s="232" t="str">
        <f>IF(ISNUMBER(Datos!BX16),Datos!BX16," - ")</f>
        <v xml:space="preserve"> - </v>
      </c>
      <c r="AL16" s="243">
        <f>IF(ISNUMBER(NºAsuntos!G16/NºAsuntos!E16),NºAsuntos!G16/NºAsuntos!E16," - ")</f>
        <v>0.987719298245614</v>
      </c>
      <c r="AM16" s="260">
        <f>IF(ISNUMBER(((NºAsuntos!I16/NºAsuntos!G16)*11)/factor_trimestre),((NºAsuntos!I16/NºAsuntos!G16)*11)/factor_trimestre," - ")</f>
        <v>5.8614564831261111</v>
      </c>
      <c r="AN16" s="244">
        <f>IF(ISNUMBER('Resol  Asuntos'!D16/NºAsuntos!G16),'Resol  Asuntos'!D16/NºAsuntos!G16," - ")</f>
        <v>0.22380106571936056</v>
      </c>
      <c r="AO16" s="245">
        <f>IF(ISNUMBER((NºAsuntos!C16+NºAsuntos!E16)/NºAsuntos!G16),(NºAsuntos!C16+NºAsuntos!E16)/NºAsuntos!G16," - ")</f>
        <v>2.9058614564831262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50</v>
      </c>
      <c r="X17" s="226">
        <f>IF(ISNUMBER(Datos!Q17),Datos!Q17," - ")</f>
        <v>7</v>
      </c>
      <c r="Y17" s="334">
        <f t="shared" si="7"/>
        <v>57</v>
      </c>
      <c r="Z17" s="335" t="str">
        <f>IF(ISNUMBER(Datos!CC17),Datos!CC17," - ")</f>
        <v xml:space="preserve"> - </v>
      </c>
      <c r="AA17" s="332">
        <f>IF(ISNUMBER(Datos!L17),Datos!L17,"-")</f>
        <v>108</v>
      </c>
      <c r="AB17" s="334">
        <f>IF(ISNUMBER(Datos!R17),Datos!R17," - ")</f>
        <v>18</v>
      </c>
      <c r="AC17" s="334">
        <f t="shared" si="6"/>
        <v>126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1.0416666666666667</v>
      </c>
      <c r="AM17" s="260">
        <f>IF(ISNUMBER(((NºAsuntos!I17/NºAsuntos!G17)*11)/factor_trimestre),((NºAsuntos!I17/NºAsuntos!G17)*11)/factor_trimestre," - ")</f>
        <v>6.48</v>
      </c>
      <c r="AN17" s="244">
        <f>IF(ISNUMBER('Resol  Asuntos'!D17/NºAsuntos!G17),'Resol  Asuntos'!D17/NºAsuntos!G17," - ")</f>
        <v>0.14000000000000001</v>
      </c>
      <c r="AO17" s="245">
        <f>IF(ISNUMBER((NºAsuntos!C17+NºAsuntos!E17)/NºAsuntos!G17),(NºAsuntos!C17+NºAsuntos!E17)/NºAsuntos!G17," - ")</f>
        <v>3.16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1093</v>
      </c>
      <c r="G18" s="866">
        <f>SUBTOTAL(9,G15:G17)</f>
        <v>1176</v>
      </c>
      <c r="H18" s="865">
        <f t="shared" ref="H18:O18" si="10">SUBTOTAL(9,H14:H17)</f>
        <v>0</v>
      </c>
      <c r="I18" s="867">
        <f t="shared" si="10"/>
        <v>0</v>
      </c>
      <c r="J18" s="867">
        <f t="shared" si="10"/>
        <v>0</v>
      </c>
      <c r="K18" s="867">
        <f t="shared" si="10"/>
        <v>0</v>
      </c>
      <c r="L18" s="867">
        <f t="shared" si="10"/>
        <v>36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613</v>
      </c>
      <c r="X18" s="867">
        <f t="shared" si="11"/>
        <v>28</v>
      </c>
      <c r="Y18" s="868">
        <f t="shared" si="11"/>
        <v>641</v>
      </c>
      <c r="Z18" s="868">
        <f t="shared" si="11"/>
        <v>0</v>
      </c>
      <c r="AA18" s="868">
        <f t="shared" si="11"/>
        <v>1208</v>
      </c>
      <c r="AB18" s="868">
        <f t="shared" si="11"/>
        <v>257</v>
      </c>
      <c r="AC18" s="868">
        <f t="shared" si="11"/>
        <v>1465</v>
      </c>
      <c r="AD18" s="868">
        <f t="shared" si="11"/>
        <v>0</v>
      </c>
      <c r="AE18" s="872">
        <f t="shared" si="11"/>
        <v>0</v>
      </c>
      <c r="AF18" s="865">
        <f t="shared" si="11"/>
        <v>0</v>
      </c>
      <c r="AG18" s="873">
        <f t="shared" si="11"/>
        <v>0</v>
      </c>
      <c r="AH18" s="870">
        <f t="shared" si="11"/>
        <v>0</v>
      </c>
      <c r="AI18" s="865">
        <f t="shared" si="11"/>
        <v>133</v>
      </c>
      <c r="AJ18" s="867">
        <f t="shared" si="11"/>
        <v>0</v>
      </c>
      <c r="AK18" s="870">
        <f t="shared" si="11"/>
        <v>0</v>
      </c>
      <c r="AL18" s="874">
        <f>IF(ISNUMBER(NºAsuntos!G18/NºAsuntos!E18),NºAsuntos!G18/NºAsuntos!E18," - ")</f>
        <v>0.99190938511326865</v>
      </c>
      <c r="AM18" s="874">
        <f>IF(ISNUMBER(((NºAsuntos!I18/NºAsuntos!G18)*11)/factor_trimestre),((NºAsuntos!I18/NºAsuntos!G18)*11)/factor_trimestre," - ")</f>
        <v>5.9119086460032628</v>
      </c>
      <c r="AN18" s="875">
        <f>IF(ISNUMBER('Resol  Asuntos'!D18/NºAsuntos!G18),'Resol  Asuntos'!D18/NºAsuntos!G18," - ")</f>
        <v>0.2169657422512235</v>
      </c>
      <c r="AO18" s="876">
        <f>IF(ISNUMBER((NºAsuntos!C18+NºAsuntos!E18)/NºAsuntos!G18),(NºAsuntos!C18+NºAsuntos!E18)/NºAsuntos!G18," - ")</f>
        <v>2.9265905383360522</v>
      </c>
      <c r="AP18" s="877" t="str">
        <f t="shared" si="2"/>
        <v xml:space="preserve"> - </v>
      </c>
      <c r="AQ18" s="877">
        <f>IF(ISNUMBER((H18-W18+K18)/(F18)),(H18-W18+K18)/(F18)," - ")</f>
        <v>-0.56084172003659649</v>
      </c>
      <c r="AR18" s="878">
        <f>IF(ISNUMBER((Datos!P18-Datos!Q18)/(Datos!R18-Datos!P18+Datos!Q18)),(Datos!P18-Datos!Q18)/(Datos!R18-Datos!P18+Datos!Q18)," - ")</f>
        <v>3.2128514056224897E-2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1128</v>
      </c>
      <c r="G19" s="821">
        <f t="shared" si="13"/>
        <v>1211</v>
      </c>
      <c r="H19" s="820">
        <f t="shared" si="13"/>
        <v>0</v>
      </c>
      <c r="I19" s="822">
        <f t="shared" si="13"/>
        <v>0</v>
      </c>
      <c r="J19" s="822">
        <f t="shared" si="13"/>
        <v>0</v>
      </c>
      <c r="K19" s="881">
        <f t="shared" si="13"/>
        <v>0</v>
      </c>
      <c r="L19" s="822">
        <f t="shared" si="13"/>
        <v>170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616</v>
      </c>
      <c r="X19" s="821">
        <f t="shared" si="14"/>
        <v>68</v>
      </c>
      <c r="Y19" s="828">
        <f t="shared" si="14"/>
        <v>684</v>
      </c>
      <c r="Z19" s="828">
        <f t="shared" si="14"/>
        <v>0</v>
      </c>
      <c r="AA19" s="828">
        <f t="shared" si="14"/>
        <v>1242</v>
      </c>
      <c r="AB19" s="828">
        <f t="shared" si="14"/>
        <v>1863</v>
      </c>
      <c r="AC19" s="828">
        <f t="shared" si="14"/>
        <v>1515</v>
      </c>
      <c r="AD19" s="828">
        <f t="shared" si="14"/>
        <v>0</v>
      </c>
      <c r="AE19" s="830">
        <f t="shared" si="14"/>
        <v>0</v>
      </c>
      <c r="AF19" s="831">
        <f t="shared" si="14"/>
        <v>0</v>
      </c>
      <c r="AG19" s="832">
        <f t="shared" si="14"/>
        <v>0</v>
      </c>
      <c r="AH19" s="830">
        <f t="shared" si="14"/>
        <v>0</v>
      </c>
      <c r="AI19" s="820">
        <f t="shared" si="14"/>
        <v>304</v>
      </c>
      <c r="AJ19" s="820">
        <f t="shared" si="14"/>
        <v>0</v>
      </c>
      <c r="AK19" s="830">
        <f t="shared" si="14"/>
        <v>0</v>
      </c>
      <c r="AL19" s="884">
        <f>IF(ISNUMBER(NºAsuntos!G19/NºAsuntos!E19),NºAsuntos!G19/NºAsuntos!E19," - ")</f>
        <v>1.0332075471698112</v>
      </c>
      <c r="AM19" s="885">
        <f>IF(ISNUMBER(((NºAsuntos!I19/NºAsuntos!G19)*11)/factor_trimestre),((NºAsuntos!I19/NºAsuntos!G19)*11)/factor_trimestre," - ")</f>
        <v>5.2439737034331628</v>
      </c>
      <c r="AN19" s="885">
        <f>IF(ISNUMBER('Resol  Asuntos'!D19/NºAsuntos!G19),'Resol  Asuntos'!D19/NºAsuntos!G19," - ")</f>
        <v>0.22205989773557341</v>
      </c>
      <c r="AO19" s="886">
        <f>IF(ISNUMBER((NºAsuntos!C19+NºAsuntos!E19)/NºAsuntos!G19),(NºAsuntos!C19+NºAsuntos!E19)/NºAsuntos!G19," - ")</f>
        <v>2.7282688093498906</v>
      </c>
      <c r="AP19" s="887" t="str">
        <f t="shared" si="2"/>
        <v xml:space="preserve"> - </v>
      </c>
      <c r="AQ19" s="888">
        <f>IF(OR(ISNUMBER(FIND("01",Criterios!A8,1)),ISNUMBER(FIND("02",Criterios!A8,1)),ISNUMBER(FIND("03",Criterios!A8,1)),ISNUMBER(FIND("04",Criterios!A8,1))),(I19-W19+K19)/(F19-K19),(H19-W19+K19)/(F19-K19))</f>
        <v>-0.54609929078014185</v>
      </c>
      <c r="AR19" s="889">
        <f>IF(ISNUMBER((Datos!P19-Datos!Q19)/(Datos!R19-Datos!P19+Datos!Q19)),(Datos!P19-Datos!Q19)/(Datos!R19-Datos!P19+Datos!Q19)," - ")</f>
        <v>5.7921635434412269E-2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484.4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610.83658480262409</v>
      </c>
      <c r="G21" s="253">
        <f>IF(ISNUMBER(STDEV(G8:G18)),STDEV(G8:G18),"-")</f>
        <v>583.2377731251637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312.92618938017955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77.213124963743482</v>
      </c>
      <c r="AJ21" s="252">
        <f t="shared" si="18"/>
        <v>0</v>
      </c>
      <c r="AK21" s="254">
        <f t="shared" si="18"/>
        <v>0</v>
      </c>
      <c r="AL21" s="249">
        <f t="shared" si="18"/>
        <v>0.19446331521810964</v>
      </c>
      <c r="AM21" s="250">
        <f t="shared" si="18"/>
        <v>11.65516468874765</v>
      </c>
      <c r="AN21" s="250">
        <f t="shared" si="18"/>
        <v>0.19087758356454396</v>
      </c>
      <c r="AO21" s="251">
        <f t="shared" si="18"/>
        <v>3.8920226517513439</v>
      </c>
      <c r="AP21" s="291" t="str">
        <f t="shared" si="18"/>
        <v>-</v>
      </c>
      <c r="AQ21" s="292">
        <f t="shared" si="18"/>
        <v>0.33596583073707192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rG6wJ5ILeLMtknKi8/IExZbE7gyNx4IxSBlZWHHqqSyIWxP/WpW41XxkbdlsvshWUKFfBZ4TdJK1uK4vxLTcVg==" saltValue="Cs0IFFmSlOWB6BhRMN0q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BIZKAIA</v>
      </c>
      <c r="E3" s="263"/>
    </row>
    <row r="4" spans="2:20" ht="17.25" customHeight="1" thickBot="1">
      <c r="D4" s="262" t="str">
        <f>Criterios!A11 &amp;"  "&amp;Criterios!B11</f>
        <v>Resumenes por Partidos Judiciales  GERNIKA-LUMO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0.45833333333333331</v>
      </c>
      <c r="E10" s="348">
        <f>IF(ISNUMBER((Datos!J10-Datos!T10)/Datos!T10),(Datos!J10-Datos!T10)/Datos!T10," - ")</f>
        <v>-0.93103448275862066</v>
      </c>
      <c r="F10" s="348">
        <f>IF(ISNUMBER((Datos!K10-Datos!U10)/Datos!U10),(Datos!K10-Datos!U10)/Datos!U10," - ")</f>
        <v>-0.875</v>
      </c>
      <c r="G10" s="349">
        <f>IF(ISNUMBER((Datos!L10-Datos!V10)/Datos!V10),(Datos!L10-Datos!V10)/Datos!V10," - ")</f>
        <v>0.17241379310344829</v>
      </c>
      <c r="H10" s="230">
        <f>IF(ISNUMBER((Datos!M10-Datos!W10)/Datos!W10),(Datos!M10-Datos!W10)/Datos!W10," - ")</f>
        <v>-0.75</v>
      </c>
      <c r="I10" s="350">
        <f>IF(ISNUMBER((Tasas!C10-Datos!BE10)/Datos!BE10),(Tasas!C10-Datos!BE10)/Datos!BE10," - ")</f>
        <v>8.3793103448275872</v>
      </c>
      <c r="J10" s="349">
        <f>IF(ISNUMBER((Tasas!D10-Datos!BF10)/Datos!BF10),(Tasas!D10-Datos!BF10)/Datos!BF10," - ")</f>
        <v>1</v>
      </c>
      <c r="K10" s="351">
        <f>IF(ISNUMBER((Tasas!E10-Datos!BG10)/Datos!BG10),(Tasas!E10-Datos!BG10)/Datos!BG10," - ")</f>
        <v>4.5849056603773581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0.21582733812949639</v>
      </c>
      <c r="I12" s="350">
        <f>IF(ISNUMBER((Tasas!C12-Datos!BE12)/Datos!BE12),(Tasas!C12-Datos!BE12)/Datos!BE12," - ")</f>
        <v>-0.16707620615343016</v>
      </c>
      <c r="J12" s="349">
        <f>IF(ISNUMBER((Tasas!D12-Datos!BF12)/Datos!BF12),(Tasas!D12-Datos!BF12)/Datos!BF12," - ")</f>
        <v>-0.41646746347941571</v>
      </c>
      <c r="K12" s="351">
        <f>IF(ISNUMBER((Tasas!E12-Datos!BG12)/Datos!BG12),(Tasas!E12-Datos!BG12)/Datos!BG12," - ")</f>
        <v>-0.10814622646365447</v>
      </c>
      <c r="M12" t="e">
        <f>IF(Monitorios="SI",Datos!CE12,0)</f>
        <v>#REF!</v>
      </c>
      <c r="N12" t="e">
        <f>IF(Monitorios="SI",Datos!CF12,0)</f>
        <v>#REF!</v>
      </c>
      <c r="O12" t="e">
        <f>IF(Monitorios="SI",Datos!CG12,0)</f>
        <v>#REF!</v>
      </c>
      <c r="P12" t="e">
        <f>IF(Monitorios="SI",Datos!CH12,0)</f>
        <v>#REF!</v>
      </c>
      <c r="Q12">
        <f>IF(J_V="SI",0,Datos!AG12)</f>
        <v>220</v>
      </c>
      <c r="R12">
        <f>IF(J_V="SI",0,Datos!AH12)</f>
        <v>110</v>
      </c>
      <c r="S12">
        <f>IF(J_V="SI",0,Datos!AI12)</f>
        <v>103</v>
      </c>
      <c r="T12">
        <f>IF(J_V="SI",0,Datos!AJ12)</f>
        <v>227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0.16326530612244897</v>
      </c>
      <c r="I13" s="357">
        <f>IF(ISNUMBER((Tasas!C13-Datos!BE13)/Datos!BE13),(Tasas!C13-Datos!BE13)/Datos!BE13," - ")</f>
        <v>-0.13514919044969126</v>
      </c>
      <c r="J13" s="355">
        <f>IF(ISNUMBER((Tasas!D13-Datos!BF13)/Datos!BF13),(Tasas!D13-Datos!BF13)/Datos!BF13," - ")</f>
        <v>-0.40904385469602866</v>
      </c>
      <c r="K13" s="358">
        <f>IF(ISNUMBER((Tasas!E13-Datos!BG13)/Datos!BG13),(Tasas!E13-Datos!BG13)/Datos!BG13," - ")</f>
        <v>-8.7094529402221621E-2</v>
      </c>
      <c r="M13" t="e">
        <f>IF(Monitorios="SI",Datos!CE13,0)</f>
        <v>#REF!</v>
      </c>
      <c r="N13" t="e">
        <f>IF(Monitorios="SI",Datos!CF13,0)</f>
        <v>#REF!</v>
      </c>
      <c r="O13" t="e">
        <f>IF(Monitorios="SI",Datos!CG13,0)</f>
        <v>#REF!</v>
      </c>
      <c r="P13" t="e">
        <f>IF(Monitorios="SI",Datos!CH13,0)</f>
        <v>#REF!</v>
      </c>
      <c r="Q13">
        <f>IF(J_V="SI",0,Datos!AG13)</f>
        <v>220</v>
      </c>
      <c r="R13">
        <f>IF(J_V="SI",0,Datos!AH13)</f>
        <v>110</v>
      </c>
      <c r="S13">
        <f>IF(J_V="SI",0,Datos!AI13)</f>
        <v>103</v>
      </c>
      <c r="T13">
        <f>IF(J_V="SI",0,Datos!AJ13)</f>
        <v>227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0.2889963724304716</v>
      </c>
      <c r="E16" s="348">
        <f>IF(ISNUMBER(
   IF(D_I="SI",(Datos!J16-Datos!T16)/Datos!T16,(Datos!J16+Datos!AD16-(Datos!T16+Datos!AL16))/(Datos!T16+Datos!AL16))
     ),IF(D_I="SI",(Datos!J16-Datos!T16)/Datos!T16,(Datos!J16+Datos!AD16-(Datos!T16+Datos!AL16))/(Datos!T16+Datos!AL16))," - ")</f>
        <v>0.16803278688524589</v>
      </c>
      <c r="F16" s="348">
        <f>IF(ISNUMBER(
   IF(D_I="SI",(Datos!K16-Datos!U16)/Datos!U16,(Datos!K16+Datos!AE16-(Datos!U16+Datos!AM16))/(Datos!U16+Datos!AM16))
     ),IF(D_I="SI",(Datos!K16-Datos!U16)/Datos!U16,(Datos!K16+Datos!AE16-(Datos!U16+Datos!AM16))/(Datos!U16+Datos!AM16))," - ")</f>
        <v>0.19027484143763213</v>
      </c>
      <c r="G16" s="349">
        <f>IF(ISNUMBER(
   IF(D_I="SI",(Datos!L16-Datos!V16)/Datos!V16,(Datos!L16+Datos!AF16-(Datos!V16+Datos!AN16))/(Datos!V16+Datos!AN16))
     ),IF(D_I="SI",(Datos!L16-Datos!V16)/Datos!V16,(Datos!L16+Datos!AF16-(Datos!V16+Datos!AN16))/(Datos!V16+Datos!AN16))," - ")</f>
        <v>0.30486358244365364</v>
      </c>
      <c r="H16" s="230">
        <f>IF(ISNUMBER((Datos!M16-Datos!W16)/Datos!W16),(Datos!M16-Datos!W16)/Datos!W16," - ")</f>
        <v>0.4823529411764706</v>
      </c>
      <c r="I16" s="350">
        <f>IF(ISNUMBER((Tasas!C16-Datos!BE16)/Datos!BE16),(Tasas!C16-Datos!BE16)/Datos!BE16," - ")</f>
        <v>9.6270825037030522E-2</v>
      </c>
      <c r="J16" s="349">
        <f>IF(ISNUMBER((Tasas!D16-Datos!BF16)/Datos!BF16),(Tasas!D16-Datos!BF16)/Datos!BF16," - ")</f>
        <v>0.24538710688538284</v>
      </c>
      <c r="K16" s="351">
        <f>IF(ISNUMBER((Tasas!E16-Datos!BG16)/Datos!BG16),(Tasas!E16-Datos!BG16)/Datos!BG16," - ")</f>
        <v>4.5226212103816436E-2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v>
      </c>
      <c r="E17" s="348">
        <f>IF(ISNUMBER(
   IF(D_I="SI",(Datos!J17-Datos!T17)/Datos!T17,(Datos!J17+Datos!AD17-(Datos!T17+Datos!AL17))/(Datos!T17+Datos!AL17))
     ),IF(D_I="SI",(Datos!J17-Datos!T17)/Datos!T17,(Datos!J17+Datos!AD17-(Datos!T17+Datos!AL17))/(Datos!T17+Datos!AL17))," - ")</f>
        <v>-5.8823529411764705E-2</v>
      </c>
      <c r="F17" s="348">
        <f>IF(ISNUMBER(
   IF(D_I="SI",(Datos!K17-Datos!U17)/Datos!U17,(Datos!K17+Datos!AE17-(Datos!U17+Datos!AM17))/(Datos!U17+Datos!AM17))
     ),IF(D_I="SI",(Datos!K17-Datos!U17)/Datos!U17,(Datos!K17+Datos!AE17-(Datos!U17+Datos!AM17))/(Datos!U17+Datos!AM17))," - ")</f>
        <v>0.3888888888888889</v>
      </c>
      <c r="G17" s="349">
        <f>IF(ISNUMBER(
   IF(D_I="SI",(Datos!L17-Datos!V17)/Datos!V17,(Datos!L17+Datos!AF17-(Datos!V17+Datos!AN17))/(Datos!V17+Datos!AN17))
     ),IF(D_I="SI",(Datos!L17-Datos!V17)/Datos!V17,(Datos!L17+Datos!AF17-(Datos!V17+Datos!AN17))/(Datos!V17+Datos!AN17))," - ")</f>
        <v>4.8543689320388349E-2</v>
      </c>
      <c r="H17" s="230">
        <f>IF(ISNUMBER((Datos!M17-Datos!W17)/Datos!W17),(Datos!M17-Datos!W17)/Datos!W17," - ")</f>
        <v>-0.36363636363636365</v>
      </c>
      <c r="I17" s="350">
        <f>IF(ISNUMBER((Tasas!C17-Datos!BE17)/Datos!BE17),(Tasas!C17-Datos!BE17)/Datos!BE17," - ")</f>
        <v>-0.24504854368932036</v>
      </c>
      <c r="J17" s="349">
        <f>IF(ISNUMBER((Tasas!D17-Datos!BF17)/Datos!BF17),(Tasas!D17-Datos!BF17)/Datos!BF17," - ")</f>
        <v>-0.54181818181818187</v>
      </c>
      <c r="K17" s="351">
        <f>IF(ISNUMBER((Tasas!E17-Datos!BG17)/Datos!BG17),(Tasas!E17-Datos!BG17)/Datos!BG17," - ")</f>
        <v>-0.18158273381294962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0.28524590163934427</v>
      </c>
      <c r="E18" s="354">
        <f>IF(ISNUMBER(
   IF(D_I="SI",(Datos!J18-Datos!T18)/Datos!T18,(Datos!J18+Datos!AD18-(Datos!T18+Datos!AL18))/(Datos!T18+Datos!AL18))
     ),IF(D_I="SI",(Datos!J18-Datos!T18)/Datos!T18,(Datos!J18+Datos!AD18-(Datos!T18+Datos!AL18))/(Datos!T18+Datos!AL18))," - ")</f>
        <v>0.14656771799628943</v>
      </c>
      <c r="F18" s="354">
        <f>IF(ISNUMBER(
   IF(D_I="SI",(Datos!K18-Datos!U18)/Datos!U18,(Datos!K18+Datos!AE18-(Datos!U18+Datos!AM18))/(Datos!U18+Datos!AM18))
     ),IF(D_I="SI",(Datos!K18-Datos!U18)/Datos!U18,(Datos!K18+Datos!AE18-(Datos!U18+Datos!AM18))/(Datos!U18+Datos!AM18))," - ")</f>
        <v>0.20432220039292731</v>
      </c>
      <c r="G18" s="355">
        <f>IF(ISNUMBER(
   IF(D_I="SI",(Datos!L18-Datos!V18)/Datos!V18,(Datos!L18+Datos!AF18-(Datos!V18+Datos!AN18))/(Datos!V18+Datos!AN18))
     ),IF(D_I="SI",(Datos!L18-Datos!V18)/Datos!V18,(Datos!L18+Datos!AF18-(Datos!V18+Datos!AN18))/(Datos!V18+Datos!AN18))," - ")</f>
        <v>0.27695560253699791</v>
      </c>
      <c r="H18" s="356">
        <f>IF(ISNUMBER((Datos!M18-Datos!W18)/Datos!W18),(Datos!M18-Datos!W18)/Datos!W18," - ")</f>
        <v>0.38541666666666669</v>
      </c>
      <c r="I18" s="357">
        <f>IF(ISNUMBER((Tasas!C18-Datos!BE18)/Datos!BE18),(Tasas!C18-Datos!BE18)/Datos!BE18," - ")</f>
        <v>6.0310606348012906E-2</v>
      </c>
      <c r="J18" s="355">
        <f>IF(ISNUMBER((Tasas!D18-Datos!BF18)/Datos!BF18),(Tasas!D18-Datos!BF18)/Datos!BF18," - ")</f>
        <v>0.15037044589450796</v>
      </c>
      <c r="K18" s="358">
        <f>IF(ISNUMBER((Tasas!E18-Datos!BG18)/Datos!BG18),(Tasas!E18-Datos!BG18)/Datos!BG18," - ")</f>
        <v>2.4507966996595923E-2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0.11884865366759517</v>
      </c>
      <c r="E19" s="363">
        <f>IF(ISNUMBER(
   IF(J_V="SI",(Datos!J19-Datos!T19)/Datos!T19,(Datos!J19+Datos!Z19-(Datos!T19+Datos!AH19))/(Datos!T19+Datos!AH19))
     ),IF(J_V="SI",(Datos!J19-Datos!T19)/Datos!T19,(Datos!J19+Datos!Z19-(Datos!T19+Datos!AH19))/(Datos!T19+Datos!AH19))," - ")</f>
        <v>0.14322691975841242</v>
      </c>
      <c r="F19" s="363">
        <f>IF(ISNUMBER(
   IF(J_V="SI",(Datos!K19-Datos!U19)/Datos!U19,(Datos!K19+Datos!AA19-(Datos!U19+Datos!AI19))/(Datos!U19+Datos!AI19))
     ),IF(J_V="SI",(Datos!K19-Datos!U19)/Datos!U19,(Datos!K19+Datos!AA19-(Datos!U19+Datos!AI19))/(Datos!U19+Datos!AI19))," - ")</f>
        <v>0.17008547008547009</v>
      </c>
      <c r="G19" s="364">
        <f>IF(ISNUMBER(
   IF(J_V="SI",(Datos!L19-Datos!V19)/Datos!V19,(Datos!L19+Datos!AB19-(Datos!V19+Datos!AJ19))/(Datos!V19+Datos!AJ19))
     ),IF(J_V="SI",(Datos!L19-Datos!V19)/Datos!V19,(Datos!L19+Datos!AB19-(Datos!V19+Datos!AJ19))/(Datos!V19+Datos!AJ19))," - ")</f>
        <v>0.11613805970149253</v>
      </c>
      <c r="H19" s="365">
        <f>IF(ISNUMBER((Datos!M19-Datos!W19)/Datos!W19),(Datos!M19-Datos!W19)/Datos!W19," - ")</f>
        <v>0.25102880658436216</v>
      </c>
      <c r="I19" s="362">
        <f>IF(ISNUMBER((Tasas!C19-Datos!BE19)/Datos!BE19),(Tasas!C19-Datos!BE19)/Datos!BE19," - ")</f>
        <v>-4.6105529692661615E-2</v>
      </c>
      <c r="J19" s="363">
        <f>IF(ISNUMBER((Tasas!D19-Datos!BF19)/Datos!BF19),(Tasas!D19-Datos!BF19)/Datos!BF19," - ")</f>
        <v>-0.2555585090240089</v>
      </c>
      <c r="K19" s="364">
        <f>IF(ISNUMBER((Tasas!E19-Datos!BG19)/Datos!BG19),(Tasas!E19-Datos!BG19)/Datos!BG19," - ")</f>
        <v>-3.6500299746642983E-2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9.3458591451097542E-2</v>
      </c>
      <c r="E21" s="278">
        <f t="shared" si="1"/>
        <v>0.51833366146966364</v>
      </c>
      <c r="F21" s="278">
        <f t="shared" si="1"/>
        <v>0.57524427812298051</v>
      </c>
      <c r="G21" s="279">
        <f t="shared" si="1"/>
        <v>0.11635666585961597</v>
      </c>
      <c r="H21" s="285">
        <f t="shared" si="1"/>
        <v>0.47879444070974042</v>
      </c>
      <c r="I21" s="277">
        <f t="shared" si="1"/>
        <v>3.4553043288727858</v>
      </c>
      <c r="J21" s="278">
        <f t="shared" si="1"/>
        <v>0.5860068900977552</v>
      </c>
      <c r="K21" s="279">
        <f t="shared" si="1"/>
        <v>1.8987526009147422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vMk+k4g+jZZ5GkNJ0QPwFxWezFZk8RJ2BDJgpgBvZxAym+jHvg30+MIhj8f0gbliieWQmcS1seonA31qXihaQ==" saltValue="UZ/k7ysL8tst6VKREDKP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